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375" tabRatio="840"/>
  </bookViews>
  <sheets>
    <sheet name="読んでね！" sheetId="33" r:id="rId1"/>
    <sheet name="メインシート" sheetId="30" r:id="rId2"/>
    <sheet name="学校ﾏｽﾀｰ" sheetId="21" r:id="rId3"/>
    <sheet name="入力ﾌｫｰﾑ" sheetId="32" r:id="rId4"/>
    <sheet name="名簿ﾏｽﾀｰ" sheetId="31" r:id="rId5"/>
    <sheet name="参加料納付書（計算式）" sheetId="29" r:id="rId6"/>
    <sheet name="男子団体" sheetId="1" r:id="rId7"/>
    <sheet name="女子団体" sheetId="17" r:id="rId8"/>
    <sheet name="個人（男子） " sheetId="13" r:id="rId9"/>
    <sheet name="個人（女子）" sheetId="16" r:id="rId10"/>
  </sheets>
  <definedNames>
    <definedName name="_xlnm.Print_Area" localSheetId="9">'個人（女子）'!$C$1:$N$38</definedName>
    <definedName name="_xlnm.Print_Area" localSheetId="8">'個人（男子） '!$C$1:$N$38</definedName>
    <definedName name="_xlnm.Print_Area" localSheetId="5">'参加料納付書（計算式）'!$A$1:$O$45</definedName>
    <definedName name="_xlnm.Print_Area" localSheetId="7">女子団体!$C$1:$M$33</definedName>
    <definedName name="_xlnm.Print_Area" localSheetId="6">男子団体!$C$1:$M$39</definedName>
    <definedName name="_xlnm.Print_Area" localSheetId="0">'読んでね！'!$A$1:$Q$272</definedName>
    <definedName name="_xlnm.Print_Area" localSheetId="4">名簿ﾏｽﾀｰ!$A$2:$Z$57</definedName>
  </definedNames>
  <calcPr calcId="145621"/>
</workbook>
</file>

<file path=xl/calcChain.xml><?xml version="1.0" encoding="utf-8"?>
<calcChain xmlns="http://schemas.openxmlformats.org/spreadsheetml/2006/main">
  <c r="J9" i="16" l="1"/>
  <c r="J9" i="13"/>
  <c r="J9" i="17"/>
  <c r="J9" i="1"/>
  <c r="F9" i="16"/>
  <c r="F9" i="13"/>
  <c r="F9" i="17"/>
  <c r="F9" i="1"/>
  <c r="H8" i="16"/>
  <c r="H8" i="13"/>
  <c r="H8" i="17"/>
  <c r="H8" i="1"/>
  <c r="F8" i="16"/>
  <c r="F8" i="13"/>
  <c r="F8" i="17"/>
  <c r="F8" i="1"/>
  <c r="E6" i="16"/>
  <c r="E6" i="13"/>
  <c r="E6" i="17"/>
  <c r="E6" i="1"/>
  <c r="E5" i="16"/>
  <c r="E5" i="13"/>
  <c r="E5" i="17"/>
  <c r="E5" i="1"/>
  <c r="AA3" i="21"/>
  <c r="D3" i="21" l="1"/>
  <c r="W3" i="21" s="1"/>
  <c r="Q3" i="21"/>
  <c r="O3" i="21"/>
  <c r="N3" i="21"/>
  <c r="L3" i="21"/>
  <c r="K3" i="21"/>
  <c r="I3" i="21"/>
  <c r="T3" i="21"/>
  <c r="S3" i="21"/>
  <c r="V3" i="21"/>
  <c r="U3" i="21"/>
  <c r="R3" i="21"/>
  <c r="E3" i="21"/>
  <c r="L20" i="31"/>
  <c r="J20" i="31"/>
  <c r="H20" i="31"/>
  <c r="G20" i="31"/>
  <c r="K20" i="31" s="1"/>
  <c r="L19" i="31"/>
  <c r="J19" i="31"/>
  <c r="H19" i="31"/>
  <c r="G19" i="31"/>
  <c r="K19" i="31" s="1"/>
  <c r="L18" i="31"/>
  <c r="K18" i="31"/>
  <c r="J18" i="31"/>
  <c r="H18" i="31"/>
  <c r="G18" i="31"/>
  <c r="L17" i="31"/>
  <c r="J17" i="31"/>
  <c r="H17" i="31"/>
  <c r="G17" i="31"/>
  <c r="K17" i="31" s="1"/>
  <c r="L16" i="31"/>
  <c r="J16" i="31"/>
  <c r="H16" i="31"/>
  <c r="G16" i="31"/>
  <c r="K16" i="31" s="1"/>
  <c r="L15" i="31"/>
  <c r="J15" i="31"/>
  <c r="H15" i="31"/>
  <c r="K15" i="31" s="1"/>
  <c r="G15" i="31"/>
  <c r="L14" i="31"/>
  <c r="J14" i="31"/>
  <c r="H14" i="31"/>
  <c r="G14" i="31"/>
  <c r="K14" i="31" s="1"/>
  <c r="L13" i="31"/>
  <c r="K13" i="31"/>
  <c r="J13" i="31"/>
  <c r="H13" i="31"/>
  <c r="G13" i="31"/>
  <c r="L12" i="31"/>
  <c r="J12" i="31"/>
  <c r="H12" i="31"/>
  <c r="G12" i="31"/>
  <c r="K12" i="31" s="1"/>
  <c r="L11" i="31"/>
  <c r="J11" i="31"/>
  <c r="H11" i="31"/>
  <c r="G11" i="31"/>
  <c r="K11" i="31" s="1"/>
  <c r="L10" i="31"/>
  <c r="K10" i="31"/>
  <c r="J10" i="31"/>
  <c r="H10" i="31"/>
  <c r="G10" i="31"/>
  <c r="L9" i="31"/>
  <c r="J9" i="31"/>
  <c r="H9" i="31"/>
  <c r="G9" i="31"/>
  <c r="K9" i="31" s="1"/>
  <c r="L8" i="31"/>
  <c r="J8" i="31"/>
  <c r="H8" i="31"/>
  <c r="G8" i="31"/>
  <c r="K8" i="31" s="1"/>
  <c r="L7" i="31"/>
  <c r="J7" i="31"/>
  <c r="H7" i="31"/>
  <c r="K7" i="31" s="1"/>
  <c r="G7" i="31"/>
  <c r="M33" i="16" l="1"/>
  <c r="M31" i="16"/>
  <c r="M29" i="16"/>
  <c r="M27" i="16"/>
  <c r="M25" i="16"/>
  <c r="M23" i="16"/>
  <c r="M21" i="16"/>
  <c r="M19" i="16"/>
  <c r="M33" i="13"/>
  <c r="M31" i="13"/>
  <c r="M29" i="13"/>
  <c r="M27" i="13"/>
  <c r="M25" i="13"/>
  <c r="M23" i="13"/>
  <c r="M21" i="13"/>
  <c r="M19" i="13"/>
  <c r="L33" i="16"/>
  <c r="K33" i="16"/>
  <c r="J33" i="16"/>
  <c r="H34" i="16"/>
  <c r="F34" i="16"/>
  <c r="H33" i="16"/>
  <c r="F33" i="16"/>
  <c r="D33" i="16"/>
  <c r="C33" i="16"/>
  <c r="L33" i="13"/>
  <c r="K33" i="13"/>
  <c r="J33" i="13"/>
  <c r="H34" i="13"/>
  <c r="F34" i="13"/>
  <c r="H33" i="13"/>
  <c r="F33" i="13"/>
  <c r="D33" i="13"/>
  <c r="L56" i="31" l="1"/>
  <c r="J56" i="31"/>
  <c r="H56" i="31"/>
  <c r="G56" i="31"/>
  <c r="K56" i="31" s="1"/>
  <c r="L55" i="31"/>
  <c r="J55" i="31"/>
  <c r="H55" i="31"/>
  <c r="G55" i="31"/>
  <c r="K55" i="31" s="1"/>
  <c r="L54" i="31"/>
  <c r="K54" i="31"/>
  <c r="J54" i="31"/>
  <c r="H54" i="31"/>
  <c r="G54" i="31"/>
  <c r="L53" i="31"/>
  <c r="J53" i="31"/>
  <c r="H53" i="31"/>
  <c r="G53" i="31"/>
  <c r="K53" i="31" s="1"/>
  <c r="L52" i="31"/>
  <c r="K52" i="31"/>
  <c r="J52" i="31"/>
  <c r="H52" i="31"/>
  <c r="G52" i="31"/>
  <c r="L51" i="31"/>
  <c r="J51" i="31"/>
  <c r="H51" i="31"/>
  <c r="G51" i="31"/>
  <c r="K51" i="31" s="1"/>
  <c r="L50" i="31"/>
  <c r="J50" i="31"/>
  <c r="H50" i="31"/>
  <c r="G50" i="31"/>
  <c r="K50" i="31" s="1"/>
  <c r="L49" i="31"/>
  <c r="K49" i="31"/>
  <c r="J49" i="31"/>
  <c r="H49" i="31"/>
  <c r="G49" i="31"/>
  <c r="L48" i="31"/>
  <c r="J48" i="31"/>
  <c r="H48" i="31"/>
  <c r="G48" i="31"/>
  <c r="K48" i="31" s="1"/>
  <c r="L47" i="31"/>
  <c r="J47" i="31"/>
  <c r="H47" i="31"/>
  <c r="G47" i="31"/>
  <c r="K47" i="31" s="1"/>
  <c r="L46" i="31" l="1"/>
  <c r="J46" i="31"/>
  <c r="H46" i="31"/>
  <c r="G46" i="31"/>
  <c r="K46" i="31" s="1"/>
  <c r="L45" i="31"/>
  <c r="K45" i="31"/>
  <c r="J45" i="31"/>
  <c r="H45" i="31"/>
  <c r="G45" i="31"/>
  <c r="L44" i="31"/>
  <c r="J44" i="31"/>
  <c r="H44" i="31"/>
  <c r="G44" i="31"/>
  <c r="K44" i="31" s="1"/>
  <c r="L43" i="31"/>
  <c r="J43" i="31"/>
  <c r="H43" i="31"/>
  <c r="K43" i="31" s="1"/>
  <c r="G43" i="31"/>
  <c r="L42" i="31"/>
  <c r="J42" i="31"/>
  <c r="H42" i="31"/>
  <c r="K42" i="31" s="1"/>
  <c r="G42" i="31"/>
  <c r="L41" i="31"/>
  <c r="J41" i="31"/>
  <c r="H41" i="31"/>
  <c r="G41" i="31"/>
  <c r="K41" i="31" s="1"/>
  <c r="L40" i="31"/>
  <c r="K40" i="31"/>
  <c r="J40" i="31"/>
  <c r="H40" i="31"/>
  <c r="G40" i="31"/>
  <c r="L39" i="31"/>
  <c r="J39" i="31"/>
  <c r="H39" i="31"/>
  <c r="G39" i="31"/>
  <c r="K39" i="31" s="1"/>
  <c r="L38" i="31"/>
  <c r="J38" i="31"/>
  <c r="H38" i="31"/>
  <c r="G38" i="31"/>
  <c r="K38" i="31" s="1"/>
  <c r="L37" i="31"/>
  <c r="K37" i="31"/>
  <c r="J37" i="31"/>
  <c r="H37" i="31"/>
  <c r="G37" i="31"/>
  <c r="L36" i="31"/>
  <c r="J36" i="31"/>
  <c r="H36" i="31"/>
  <c r="G36" i="31"/>
  <c r="K36" i="31" s="1"/>
  <c r="L35" i="31"/>
  <c r="K35" i="31"/>
  <c r="J35" i="31"/>
  <c r="H35" i="31"/>
  <c r="G35" i="31"/>
  <c r="L34" i="31"/>
  <c r="J34" i="31"/>
  <c r="H34" i="31"/>
  <c r="K34" i="31" s="1"/>
  <c r="G34" i="31"/>
  <c r="L33" i="31"/>
  <c r="J33" i="31"/>
  <c r="H33" i="31"/>
  <c r="G33" i="31"/>
  <c r="K33" i="31" s="1"/>
  <c r="L32" i="31"/>
  <c r="K32" i="31"/>
  <c r="J32" i="31"/>
  <c r="H32" i="31"/>
  <c r="G32" i="31"/>
  <c r="L31" i="31"/>
  <c r="J31" i="31"/>
  <c r="H31" i="31"/>
  <c r="G31" i="31"/>
  <c r="K31" i="31" s="1"/>
  <c r="L30" i="31"/>
  <c r="J30" i="31"/>
  <c r="H30" i="31"/>
  <c r="G30" i="31"/>
  <c r="K30" i="31" s="1"/>
  <c r="L29" i="31"/>
  <c r="K29" i="31"/>
  <c r="J29" i="31"/>
  <c r="H29" i="31"/>
  <c r="G29" i="31"/>
  <c r="L28" i="31"/>
  <c r="J28" i="31"/>
  <c r="H28" i="31"/>
  <c r="G28" i="31"/>
  <c r="K28" i="31" s="1"/>
  <c r="L27" i="31"/>
  <c r="K27" i="31"/>
  <c r="J27" i="31"/>
  <c r="H27" i="31"/>
  <c r="G27" i="31"/>
  <c r="L26" i="31"/>
  <c r="J26" i="31"/>
  <c r="H26" i="31"/>
  <c r="K26" i="31" s="1"/>
  <c r="G26" i="31"/>
  <c r="L25" i="31"/>
  <c r="J25" i="31"/>
  <c r="H25" i="31"/>
  <c r="G25" i="31"/>
  <c r="K25" i="31" s="1"/>
  <c r="L24" i="31"/>
  <c r="K24" i="31"/>
  <c r="J24" i="31"/>
  <c r="H24" i="31"/>
  <c r="G24" i="31"/>
  <c r="L23" i="31"/>
  <c r="J23" i="31"/>
  <c r="H23" i="31"/>
  <c r="G23" i="31"/>
  <c r="K23" i="31" s="1"/>
  <c r="L22" i="31"/>
  <c r="J22" i="31"/>
  <c r="H22" i="31"/>
  <c r="G22" i="31"/>
  <c r="K22" i="31" s="1"/>
  <c r="L21" i="31"/>
  <c r="K21" i="31"/>
  <c r="J21" i="31"/>
  <c r="H21" i="31"/>
  <c r="G21" i="31"/>
  <c r="Q26" i="29" l="1"/>
  <c r="Q22" i="29"/>
  <c r="R26" i="29"/>
  <c r="R22" i="29"/>
  <c r="B10" i="30" l="1"/>
  <c r="J51" i="32" l="1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4" i="32"/>
  <c r="J3" i="32"/>
  <c r="J2" i="32"/>
  <c r="C37" i="16" l="1"/>
  <c r="C36" i="16"/>
  <c r="C31" i="16"/>
  <c r="C29" i="16"/>
  <c r="C27" i="16"/>
  <c r="C25" i="16"/>
  <c r="C23" i="16"/>
  <c r="C19" i="16"/>
  <c r="C21" i="16"/>
  <c r="C37" i="13"/>
  <c r="C36" i="13"/>
  <c r="C33" i="13"/>
  <c r="C31" i="13"/>
  <c r="C29" i="13"/>
  <c r="C27" i="13"/>
  <c r="C25" i="13"/>
  <c r="C23" i="13"/>
  <c r="C21" i="13"/>
  <c r="C19" i="13"/>
  <c r="C1" i="16" l="1"/>
  <c r="C1" i="17"/>
  <c r="C1" i="1"/>
  <c r="C1" i="13" s="1"/>
  <c r="E7" i="16"/>
  <c r="J4" i="17"/>
  <c r="L27" i="17"/>
  <c r="L25" i="17"/>
  <c r="L23" i="17"/>
  <c r="L21" i="17"/>
  <c r="L19" i="17"/>
  <c r="G33" i="29"/>
  <c r="L33" i="29" s="1"/>
  <c r="F24" i="29"/>
  <c r="D24" i="29"/>
  <c r="F20" i="29"/>
  <c r="D20" i="29"/>
  <c r="F43" i="29"/>
  <c r="F44" i="29"/>
  <c r="F42" i="29"/>
  <c r="H39" i="29"/>
  <c r="J33" i="29"/>
  <c r="L17" i="29"/>
  <c r="B2" i="29"/>
  <c r="I10" i="17"/>
  <c r="H10" i="17"/>
  <c r="E7" i="17"/>
  <c r="E7" i="13" l="1"/>
  <c r="A4" i="13"/>
  <c r="A4" i="16"/>
  <c r="E4" i="16" s="1"/>
  <c r="A4" i="17"/>
  <c r="A4" i="1"/>
  <c r="E4" i="1" s="1"/>
  <c r="A2" i="16"/>
  <c r="A2" i="13"/>
  <c r="A2" i="17"/>
  <c r="E4" i="13" l="1"/>
  <c r="E4" i="17"/>
  <c r="E7" i="1"/>
  <c r="A2" i="1"/>
  <c r="B1" i="32"/>
  <c r="P3" i="32"/>
  <c r="P4" i="32" s="1"/>
  <c r="P5" i="32" s="1"/>
  <c r="P6" i="32" s="1"/>
  <c r="P7" i="32" s="1"/>
  <c r="P8" i="32" s="1"/>
  <c r="P9" i="32" s="1"/>
  <c r="P10" i="32" s="1"/>
  <c r="R3" i="32"/>
  <c r="R4" i="32" s="1"/>
  <c r="R5" i="32" s="1"/>
  <c r="R6" i="32" s="1"/>
  <c r="R7" i="32" s="1"/>
  <c r="R8" i="32" s="1"/>
  <c r="R9" i="32" s="1"/>
  <c r="R10" i="32" s="1"/>
  <c r="Y3" i="32"/>
  <c r="Z3" i="32"/>
  <c r="AA3" i="32"/>
  <c r="AB3" i="32"/>
  <c r="AC3" i="32"/>
  <c r="AD3" i="32"/>
  <c r="AE3" i="32"/>
  <c r="C4" i="32"/>
  <c r="D11" i="32" s="1"/>
  <c r="E4" i="32"/>
  <c r="O4" i="32"/>
  <c r="O5" i="32" s="1"/>
  <c r="O6" i="32" s="1"/>
  <c r="O7" i="32" s="1"/>
  <c r="O8" i="32" s="1"/>
  <c r="O9" i="32" s="1"/>
  <c r="O10" i="32" s="1"/>
  <c r="Q4" i="32"/>
  <c r="Q5" i="32" s="1"/>
  <c r="Q6" i="32" s="1"/>
  <c r="Q7" i="32" s="1"/>
  <c r="Q8" i="32" s="1"/>
  <c r="Q9" i="32" s="1"/>
  <c r="Q10" i="32" s="1"/>
  <c r="Y4" i="32"/>
  <c r="Z4" i="32"/>
  <c r="AA4" i="32"/>
  <c r="AB4" i="32"/>
  <c r="AC4" i="32"/>
  <c r="AD4" i="32"/>
  <c r="AE4" i="32"/>
  <c r="C5" i="32"/>
  <c r="E5" i="32"/>
  <c r="Y5" i="32"/>
  <c r="Z5" i="32"/>
  <c r="AA5" i="32"/>
  <c r="AB5" i="32"/>
  <c r="AC5" i="32"/>
  <c r="AD5" i="32"/>
  <c r="AE5" i="32"/>
  <c r="C6" i="32"/>
  <c r="E6" i="32"/>
  <c r="Y6" i="32"/>
  <c r="Z6" i="32"/>
  <c r="AA6" i="32"/>
  <c r="AB6" i="32"/>
  <c r="AC6" i="32"/>
  <c r="AD6" i="32"/>
  <c r="AE6" i="32"/>
  <c r="C7" i="32"/>
  <c r="E7" i="32"/>
  <c r="Y7" i="32"/>
  <c r="Z7" i="32"/>
  <c r="AA7" i="32"/>
  <c r="AB7" i="32"/>
  <c r="AC7" i="32"/>
  <c r="AD7" i="32"/>
  <c r="AE7" i="32"/>
  <c r="Y8" i="32"/>
  <c r="Z8" i="32"/>
  <c r="AA8" i="32"/>
  <c r="AB8" i="32"/>
  <c r="AC8" i="32"/>
  <c r="AD8" i="32"/>
  <c r="AE8" i="32"/>
  <c r="Y9" i="32"/>
  <c r="Z9" i="32"/>
  <c r="AA9" i="32"/>
  <c r="AB9" i="32"/>
  <c r="AC9" i="32"/>
  <c r="AD9" i="32"/>
  <c r="AE9" i="32"/>
  <c r="Y10" i="32"/>
  <c r="Z10" i="32"/>
  <c r="AA10" i="32"/>
  <c r="AB10" i="32"/>
  <c r="AC10" i="32"/>
  <c r="AD10" i="32"/>
  <c r="AE10" i="32"/>
  <c r="E11" i="32"/>
  <c r="F11" i="32"/>
  <c r="P13" i="32"/>
  <c r="P14" i="32" s="1"/>
  <c r="P15" i="32" s="1"/>
  <c r="P16" i="32" s="1"/>
  <c r="P17" i="32" s="1"/>
  <c r="R13" i="32"/>
  <c r="R14" i="32" s="1"/>
  <c r="R15" i="32" s="1"/>
  <c r="R16" i="32" s="1"/>
  <c r="R17" i="32" s="1"/>
  <c r="Y13" i="32"/>
  <c r="Z13" i="32"/>
  <c r="AA13" i="32"/>
  <c r="AB13" i="32"/>
  <c r="AC13" i="32"/>
  <c r="I19" i="17" s="1"/>
  <c r="AD13" i="32"/>
  <c r="J19" i="17" s="1"/>
  <c r="AE13" i="32"/>
  <c r="O14" i="32"/>
  <c r="O15" i="32" s="1"/>
  <c r="O16" i="32" s="1"/>
  <c r="O17" i="32" s="1"/>
  <c r="Q14" i="32"/>
  <c r="Q15" i="32" s="1"/>
  <c r="Q16" i="32" s="1"/>
  <c r="Q17" i="32" s="1"/>
  <c r="Y14" i="32"/>
  <c r="Z14" i="32"/>
  <c r="AA14" i="32"/>
  <c r="AB14" i="32"/>
  <c r="AC14" i="32"/>
  <c r="I21" i="17" s="1"/>
  <c r="AD14" i="32"/>
  <c r="J21" i="17" s="1"/>
  <c r="AE14" i="32"/>
  <c r="Y15" i="32"/>
  <c r="Z15" i="32"/>
  <c r="AA15" i="32"/>
  <c r="AB15" i="32"/>
  <c r="AC15" i="32"/>
  <c r="I23" i="17" s="1"/>
  <c r="AD15" i="32"/>
  <c r="J23" i="17" s="1"/>
  <c r="AE15" i="32"/>
  <c r="E16" i="32"/>
  <c r="F16" i="32"/>
  <c r="Y16" i="32"/>
  <c r="Z16" i="32"/>
  <c r="AA16" i="32"/>
  <c r="AB16" i="32"/>
  <c r="AC16" i="32"/>
  <c r="I25" i="17" s="1"/>
  <c r="AD16" i="32"/>
  <c r="J25" i="17" s="1"/>
  <c r="AE16" i="32"/>
  <c r="Y17" i="32"/>
  <c r="Z17" i="32"/>
  <c r="AA17" i="32"/>
  <c r="AB17" i="32"/>
  <c r="AC17" i="32"/>
  <c r="I27" i="17" s="1"/>
  <c r="AD17" i="32"/>
  <c r="J27" i="17" s="1"/>
  <c r="AE17" i="32"/>
  <c r="P20" i="32"/>
  <c r="Q20" i="32"/>
  <c r="R20" i="32"/>
  <c r="Y20" i="32"/>
  <c r="Z20" i="32"/>
  <c r="AA20" i="32"/>
  <c r="AB20" i="32"/>
  <c r="AC20" i="32"/>
  <c r="AD20" i="32"/>
  <c r="AE20" i="32"/>
  <c r="E21" i="32"/>
  <c r="F21" i="32"/>
  <c r="O21" i="32"/>
  <c r="Q21" i="32"/>
  <c r="R21" i="32"/>
  <c r="Y21" i="32"/>
  <c r="Z21" i="32"/>
  <c r="AA21" i="32"/>
  <c r="AB21" i="32"/>
  <c r="AC21" i="32"/>
  <c r="AD21" i="32"/>
  <c r="AE21" i="32"/>
  <c r="O22" i="32"/>
  <c r="Q22" i="32"/>
  <c r="R22" i="32"/>
  <c r="Y22" i="32"/>
  <c r="Z22" i="32"/>
  <c r="AA22" i="32"/>
  <c r="AB22" i="32"/>
  <c r="AC22" i="32"/>
  <c r="AD22" i="32"/>
  <c r="AE22" i="32"/>
  <c r="Q23" i="32"/>
  <c r="R23" i="32"/>
  <c r="Y23" i="32"/>
  <c r="Z23" i="32"/>
  <c r="AA23" i="32"/>
  <c r="AB23" i="32"/>
  <c r="AC23" i="32"/>
  <c r="AD23" i="32"/>
  <c r="AE23" i="32"/>
  <c r="Q24" i="32"/>
  <c r="R24" i="32"/>
  <c r="Y24" i="32"/>
  <c r="Z24" i="32"/>
  <c r="AA24" i="32"/>
  <c r="AB24" i="32"/>
  <c r="AC24" i="32"/>
  <c r="AD24" i="32"/>
  <c r="AE24" i="32"/>
  <c r="Q25" i="32"/>
  <c r="R25" i="32"/>
  <c r="Y25" i="32"/>
  <c r="Z25" i="32"/>
  <c r="AA25" i="32"/>
  <c r="AB25" i="32"/>
  <c r="AC25" i="32"/>
  <c r="AD25" i="32"/>
  <c r="AE25" i="32"/>
  <c r="E26" i="32"/>
  <c r="F26" i="32"/>
  <c r="Q26" i="32"/>
  <c r="R26" i="32"/>
  <c r="Y26" i="32"/>
  <c r="Z26" i="32"/>
  <c r="AA26" i="32"/>
  <c r="AB26" i="32"/>
  <c r="AC26" i="32"/>
  <c r="AD26" i="32"/>
  <c r="AE26" i="32"/>
  <c r="Q27" i="32"/>
  <c r="R27" i="32"/>
  <c r="Y27" i="32"/>
  <c r="Z27" i="32"/>
  <c r="AA27" i="32"/>
  <c r="AB27" i="32"/>
  <c r="AC27" i="32"/>
  <c r="AD27" i="32"/>
  <c r="AE27" i="32"/>
  <c r="Q28" i="32"/>
  <c r="R28" i="32"/>
  <c r="Q29" i="32"/>
  <c r="R29" i="32"/>
  <c r="P32" i="32"/>
  <c r="P33" i="32" s="1"/>
  <c r="P34" i="32" s="1"/>
  <c r="P35" i="32" s="1"/>
  <c r="P36" i="32" s="1"/>
  <c r="P37" i="32" s="1"/>
  <c r="P38" i="32" s="1"/>
  <c r="P39" i="32" s="1"/>
  <c r="P40" i="32" s="1"/>
  <c r="P41" i="32" s="1"/>
  <c r="Q32" i="32"/>
  <c r="R32" i="32"/>
  <c r="Y30" i="32"/>
  <c r="Z30" i="32"/>
  <c r="AA30" i="32"/>
  <c r="AB30" i="32"/>
  <c r="AC30" i="32"/>
  <c r="AD30" i="32"/>
  <c r="AE30" i="32"/>
  <c r="O33" i="32"/>
  <c r="O34" i="32" s="1"/>
  <c r="O35" i="32" s="1"/>
  <c r="O36" i="32" s="1"/>
  <c r="O37" i="32" s="1"/>
  <c r="O38" i="32" s="1"/>
  <c r="O39" i="32" s="1"/>
  <c r="O40" i="32" s="1"/>
  <c r="O41" i="32" s="1"/>
  <c r="Q33" i="32"/>
  <c r="R33" i="32"/>
  <c r="Y31" i="32"/>
  <c r="Z31" i="32"/>
  <c r="AA31" i="32"/>
  <c r="AB31" i="32"/>
  <c r="AC31" i="32"/>
  <c r="AD31" i="32"/>
  <c r="AE31" i="32"/>
  <c r="Q34" i="32"/>
  <c r="R34" i="32"/>
  <c r="Y32" i="32"/>
  <c r="Z32" i="32"/>
  <c r="AA32" i="32"/>
  <c r="AB32" i="32"/>
  <c r="AC32" i="32"/>
  <c r="AD32" i="32"/>
  <c r="AE32" i="32"/>
  <c r="Q35" i="32"/>
  <c r="R35" i="32"/>
  <c r="Y33" i="32"/>
  <c r="Z33" i="32"/>
  <c r="AA33" i="32"/>
  <c r="AB33" i="32"/>
  <c r="AC33" i="32"/>
  <c r="AD33" i="32"/>
  <c r="AE33" i="32"/>
  <c r="Q36" i="32"/>
  <c r="R36" i="32"/>
  <c r="Y34" i="32"/>
  <c r="Z34" i="32"/>
  <c r="AA34" i="32"/>
  <c r="AB34" i="32"/>
  <c r="AC34" i="32"/>
  <c r="AD34" i="32"/>
  <c r="AE34" i="32"/>
  <c r="Q37" i="32"/>
  <c r="R37" i="32"/>
  <c r="Y35" i="32"/>
  <c r="Z35" i="32"/>
  <c r="AA35" i="32"/>
  <c r="AB35" i="32"/>
  <c r="AC35" i="32"/>
  <c r="AD35" i="32"/>
  <c r="AE35" i="32"/>
  <c r="Q38" i="32"/>
  <c r="R38" i="32"/>
  <c r="Y36" i="32"/>
  <c r="Z36" i="32"/>
  <c r="AA36" i="32"/>
  <c r="AB36" i="32"/>
  <c r="AC36" i="32"/>
  <c r="AD36" i="32"/>
  <c r="AE36" i="32"/>
  <c r="Q39" i="32"/>
  <c r="R39" i="32"/>
  <c r="Y37" i="32"/>
  <c r="Z37" i="32"/>
  <c r="AA37" i="32"/>
  <c r="AB37" i="32"/>
  <c r="AC37" i="32"/>
  <c r="AD37" i="32"/>
  <c r="AE37" i="32"/>
  <c r="Q40" i="32"/>
  <c r="R40" i="32"/>
  <c r="Q41" i="32"/>
  <c r="R41" i="32"/>
  <c r="D12" i="32" l="1"/>
  <c r="S39" i="32"/>
  <c r="W37" i="32" s="1"/>
  <c r="S34" i="32"/>
  <c r="W32" i="32" s="1"/>
  <c r="S41" i="32"/>
  <c r="S40" i="32"/>
  <c r="S38" i="32"/>
  <c r="W36" i="32" s="1"/>
  <c r="S36" i="32"/>
  <c r="W34" i="32" s="1"/>
  <c r="S37" i="32"/>
  <c r="W35" i="32" s="1"/>
  <c r="S35" i="32"/>
  <c r="W33" i="32" s="1"/>
  <c r="D27" i="32"/>
  <c r="D17" i="32"/>
  <c r="D16" i="32"/>
  <c r="D22" i="32"/>
  <c r="P21" i="32"/>
  <c r="P22" i="32" s="1"/>
  <c r="P23" i="32" s="1"/>
  <c r="P24" i="32" s="1"/>
  <c r="P25" i="32" s="1"/>
  <c r="P26" i="32" s="1"/>
  <c r="P27" i="32" s="1"/>
  <c r="P28" i="32" s="1"/>
  <c r="P29" i="32" s="1"/>
  <c r="S29" i="32" s="1"/>
  <c r="A22" i="32"/>
  <c r="A14" i="13" s="1"/>
  <c r="A21" i="32"/>
  <c r="D26" i="32"/>
  <c r="S32" i="32"/>
  <c r="W30" i="32" s="1"/>
  <c r="A27" i="32"/>
  <c r="A14" i="16" s="1"/>
  <c r="A26" i="32"/>
  <c r="D21" i="32"/>
  <c r="S33" i="32"/>
  <c r="W31" i="32" s="1"/>
  <c r="S20" i="32"/>
  <c r="W20" i="32" s="1"/>
  <c r="S13" i="32"/>
  <c r="S3" i="32"/>
  <c r="O23" i="32"/>
  <c r="O24" i="32" s="1"/>
  <c r="O25" i="32" s="1"/>
  <c r="O26" i="32" s="1"/>
  <c r="O27" i="32" s="1"/>
  <c r="O28" i="32" s="1"/>
  <c r="O29" i="32" s="1"/>
  <c r="S26" i="32" l="1"/>
  <c r="W26" i="32" s="1"/>
  <c r="S28" i="32"/>
  <c r="S23" i="32"/>
  <c r="W23" i="32" s="1"/>
  <c r="S24" i="32"/>
  <c r="W24" i="32" s="1"/>
  <c r="S27" i="32"/>
  <c r="W27" i="32" s="1"/>
  <c r="S25" i="32"/>
  <c r="W25" i="32" s="1"/>
  <c r="S22" i="32"/>
  <c r="W22" i="32" s="1"/>
  <c r="S21" i="32"/>
  <c r="W21" i="32" s="1"/>
  <c r="A12" i="32"/>
  <c r="A14" i="1" s="1"/>
  <c r="A11" i="32"/>
  <c r="A12" i="13"/>
  <c r="A11" i="13"/>
  <c r="A17" i="32"/>
  <c r="A14" i="17" s="1"/>
  <c r="A16" i="32"/>
  <c r="A11" i="16"/>
  <c r="A12" i="16"/>
  <c r="S4" i="32"/>
  <c r="W3" i="32"/>
  <c r="W13" i="32"/>
  <c r="S14" i="32"/>
  <c r="F14" i="13" l="1"/>
  <c r="F13" i="13" s="1"/>
  <c r="F14" i="1"/>
  <c r="F12" i="13"/>
  <c r="J12" i="13"/>
  <c r="F14" i="16"/>
  <c r="J12" i="16"/>
  <c r="F12" i="16"/>
  <c r="F11" i="16"/>
  <c r="A12" i="17"/>
  <c r="A11" i="17"/>
  <c r="F11" i="17" s="1"/>
  <c r="F14" i="17"/>
  <c r="F11" i="13"/>
  <c r="A12" i="1"/>
  <c r="A11" i="1"/>
  <c r="F11" i="1" s="1"/>
  <c r="S15" i="32"/>
  <c r="W14" i="32"/>
  <c r="W4" i="32"/>
  <c r="S5" i="32"/>
  <c r="L13" i="13" l="1"/>
  <c r="J12" i="1"/>
  <c r="F12" i="1"/>
  <c r="F13" i="16"/>
  <c r="K13" i="17"/>
  <c r="F13" i="17"/>
  <c r="F10" i="16"/>
  <c r="F10" i="17"/>
  <c r="F12" i="17"/>
  <c r="J12" i="17"/>
  <c r="W5" i="32"/>
  <c r="S6" i="32"/>
  <c r="W15" i="32"/>
  <c r="S16" i="32"/>
  <c r="S17" i="32" l="1"/>
  <c r="W17" i="32" s="1"/>
  <c r="W16" i="32"/>
  <c r="W6" i="32"/>
  <c r="S7" i="32"/>
  <c r="S8" i="32" l="1"/>
  <c r="W7" i="32"/>
  <c r="S9" i="32" l="1"/>
  <c r="W8" i="32"/>
  <c r="S10" i="32" l="1"/>
  <c r="W10" i="32" s="1"/>
  <c r="W9" i="32"/>
  <c r="C3" i="30" l="1"/>
  <c r="P57" i="31" l="1"/>
  <c r="N57" i="31"/>
  <c r="U56" i="31"/>
  <c r="R56" i="31" s="1"/>
  <c r="U55" i="31"/>
  <c r="R55" i="31" s="1"/>
  <c r="U54" i="31"/>
  <c r="R54" i="31" s="1"/>
  <c r="U53" i="31"/>
  <c r="R53" i="31" s="1"/>
  <c r="U52" i="31"/>
  <c r="R52" i="31" s="1"/>
  <c r="U51" i="31"/>
  <c r="R51" i="31" s="1"/>
  <c r="U50" i="31"/>
  <c r="R50" i="31" s="1"/>
  <c r="U49" i="31"/>
  <c r="R49" i="31" s="1"/>
  <c r="U48" i="31"/>
  <c r="R48" i="31" s="1"/>
  <c r="U47" i="31"/>
  <c r="R47" i="31" s="1"/>
  <c r="U46" i="31"/>
  <c r="R46" i="31" s="1"/>
  <c r="U45" i="31"/>
  <c r="R45" i="31" s="1"/>
  <c r="U44" i="31"/>
  <c r="R44" i="31" s="1"/>
  <c r="U43" i="31"/>
  <c r="R43" i="31" s="1"/>
  <c r="U42" i="31"/>
  <c r="R42" i="31" s="1"/>
  <c r="U41" i="31"/>
  <c r="R41" i="31" s="1"/>
  <c r="U40" i="31"/>
  <c r="R40" i="31" s="1"/>
  <c r="U39" i="31"/>
  <c r="R39" i="31" s="1"/>
  <c r="U38" i="31"/>
  <c r="R38" i="31" s="1"/>
  <c r="U37" i="31"/>
  <c r="R37" i="31" s="1"/>
  <c r="U36" i="31"/>
  <c r="R36" i="31" s="1"/>
  <c r="U35" i="31"/>
  <c r="R35" i="31" s="1"/>
  <c r="U34" i="31"/>
  <c r="R34" i="31" s="1"/>
  <c r="U33" i="31"/>
  <c r="R33" i="31" s="1"/>
  <c r="U32" i="31"/>
  <c r="R32" i="31" s="1"/>
  <c r="U31" i="31"/>
  <c r="R31" i="31" s="1"/>
  <c r="U30" i="31"/>
  <c r="R30" i="31" s="1"/>
  <c r="U29" i="31"/>
  <c r="R29" i="31" s="1"/>
  <c r="U28" i="31"/>
  <c r="R28" i="31" s="1"/>
  <c r="U27" i="31"/>
  <c r="R27" i="31" s="1"/>
  <c r="U26" i="31"/>
  <c r="R26" i="31" s="1"/>
  <c r="U25" i="31"/>
  <c r="R25" i="31" s="1"/>
  <c r="U24" i="31"/>
  <c r="R24" i="31" s="1"/>
  <c r="U23" i="31"/>
  <c r="R23" i="31" s="1"/>
  <c r="U22" i="31"/>
  <c r="R22" i="31" s="1"/>
  <c r="U21" i="31"/>
  <c r="R21" i="31" s="1"/>
  <c r="U20" i="31"/>
  <c r="R20" i="31" s="1"/>
  <c r="U19" i="31"/>
  <c r="R19" i="31" s="1"/>
  <c r="U18" i="31"/>
  <c r="R18" i="31" s="1"/>
  <c r="U17" i="31"/>
  <c r="R17" i="31" s="1"/>
  <c r="U16" i="31"/>
  <c r="R16" i="31" s="1"/>
  <c r="U15" i="31"/>
  <c r="R15" i="31" s="1"/>
  <c r="U14" i="31"/>
  <c r="R14" i="31" s="1"/>
  <c r="U13" i="31"/>
  <c r="R13" i="31" s="1"/>
  <c r="U12" i="31"/>
  <c r="R12" i="31" s="1"/>
  <c r="U11" i="31"/>
  <c r="R11" i="31" s="1"/>
  <c r="U10" i="31"/>
  <c r="R10" i="31" s="1"/>
  <c r="U9" i="31"/>
  <c r="R9" i="31" s="1"/>
  <c r="U8" i="31"/>
  <c r="R8" i="31" s="1"/>
  <c r="U7" i="31"/>
  <c r="R7" i="31" s="1"/>
  <c r="U6" i="31"/>
  <c r="R6" i="31" s="1"/>
  <c r="L6" i="31"/>
  <c r="H6" i="31"/>
  <c r="G6" i="31"/>
  <c r="K6" i="31" s="1"/>
  <c r="U5" i="31"/>
  <c r="J4" i="31"/>
  <c r="P19" i="30"/>
  <c r="K19" i="30"/>
  <c r="D7" i="32" s="1"/>
  <c r="P17" i="30"/>
  <c r="K17" i="30"/>
  <c r="P3" i="21" s="1"/>
  <c r="P15" i="30"/>
  <c r="K15" i="30"/>
  <c r="M3" i="21" s="1"/>
  <c r="P13" i="30"/>
  <c r="L13" i="16" s="1"/>
  <c r="K13" i="30"/>
  <c r="J3" i="21" s="1"/>
  <c r="F10" i="29"/>
  <c r="X24" i="32" l="1"/>
  <c r="X33" i="32"/>
  <c r="X16" i="32"/>
  <c r="X32" i="32"/>
  <c r="X34" i="32"/>
  <c r="X17" i="32"/>
  <c r="X35" i="32"/>
  <c r="X36" i="32"/>
  <c r="I5" i="32"/>
  <c r="D6" i="32"/>
  <c r="K57" i="31"/>
  <c r="D5" i="32"/>
  <c r="D4" i="32"/>
  <c r="X49" i="29"/>
  <c r="Y4" i="29"/>
  <c r="AA4" i="29" s="1"/>
  <c r="Y12" i="29"/>
  <c r="AA12" i="29" s="1"/>
  <c r="Y20" i="29"/>
  <c r="AA20" i="29" s="1"/>
  <c r="Y28" i="29"/>
  <c r="AA28" i="29" s="1"/>
  <c r="Y36" i="29"/>
  <c r="AA36" i="29" s="1"/>
  <c r="Y44" i="29"/>
  <c r="AA44" i="29" s="1"/>
  <c r="X8" i="29"/>
  <c r="X24" i="29"/>
  <c r="X32" i="29"/>
  <c r="Y3" i="29"/>
  <c r="AA3" i="29" s="1"/>
  <c r="X45" i="29"/>
  <c r="Y10" i="29"/>
  <c r="AA10" i="29" s="1"/>
  <c r="X6" i="29"/>
  <c r="X38" i="29"/>
  <c r="Y11" i="29"/>
  <c r="AA11" i="29" s="1"/>
  <c r="Y35" i="29"/>
  <c r="AA35" i="29" s="1"/>
  <c r="X23" i="29"/>
  <c r="Y49" i="29"/>
  <c r="AA49" i="29" s="1"/>
  <c r="Y5" i="29"/>
  <c r="AA5" i="29" s="1"/>
  <c r="Y13" i="29"/>
  <c r="AA13" i="29" s="1"/>
  <c r="Y21" i="29"/>
  <c r="AA21" i="29" s="1"/>
  <c r="Y29" i="29"/>
  <c r="AA29" i="29" s="1"/>
  <c r="Y37" i="29"/>
  <c r="AA37" i="29" s="1"/>
  <c r="Y45" i="29"/>
  <c r="AA45" i="29" s="1"/>
  <c r="X17" i="29"/>
  <c r="X25" i="29"/>
  <c r="X41" i="29"/>
  <c r="X3" i="29"/>
  <c r="Y18" i="29"/>
  <c r="AA18" i="29" s="1"/>
  <c r="Y42" i="29"/>
  <c r="AA42" i="29" s="1"/>
  <c r="Y52" i="29"/>
  <c r="AA52" i="29" s="1"/>
  <c r="Y43" i="29"/>
  <c r="AA43" i="29" s="1"/>
  <c r="X31" i="29"/>
  <c r="Y6" i="29"/>
  <c r="AA6" i="29" s="1"/>
  <c r="Y14" i="29"/>
  <c r="AA14" i="29" s="1"/>
  <c r="Y22" i="29"/>
  <c r="AA22" i="29" s="1"/>
  <c r="Y30" i="29"/>
  <c r="AA30" i="29" s="1"/>
  <c r="Y38" i="29"/>
  <c r="AA38" i="29" s="1"/>
  <c r="Y46" i="29"/>
  <c r="AA46" i="29" s="1"/>
  <c r="X18" i="29"/>
  <c r="X26" i="29"/>
  <c r="X34" i="29"/>
  <c r="X42" i="29"/>
  <c r="X37" i="29"/>
  <c r="X52" i="29"/>
  <c r="Y34" i="29"/>
  <c r="AA34" i="29" s="1"/>
  <c r="X30" i="29"/>
  <c r="Y19" i="29"/>
  <c r="AA19" i="29" s="1"/>
  <c r="X7" i="29"/>
  <c r="X39" i="29"/>
  <c r="Y50" i="29"/>
  <c r="AA50" i="29" s="1"/>
  <c r="Y7" i="29"/>
  <c r="AA7" i="29" s="1"/>
  <c r="Y15" i="29"/>
  <c r="AA15" i="29" s="1"/>
  <c r="Y23" i="29"/>
  <c r="AA23" i="29" s="1"/>
  <c r="Y31" i="29"/>
  <c r="AA31" i="29" s="1"/>
  <c r="Y39" i="29"/>
  <c r="AA39" i="29" s="1"/>
  <c r="Y47" i="29"/>
  <c r="AA47" i="29" s="1"/>
  <c r="X27" i="29"/>
  <c r="X35" i="29"/>
  <c r="X43" i="29"/>
  <c r="X51" i="29"/>
  <c r="Y8" i="29"/>
  <c r="AA8" i="29" s="1"/>
  <c r="Y16" i="29"/>
  <c r="AA16" i="29" s="1"/>
  <c r="Y24" i="29"/>
  <c r="AA24" i="29" s="1"/>
  <c r="Y32" i="29"/>
  <c r="AA32" i="29" s="1"/>
  <c r="Y40" i="29"/>
  <c r="AA40" i="29" s="1"/>
  <c r="X12" i="29"/>
  <c r="X20" i="29"/>
  <c r="X28" i="29"/>
  <c r="X36" i="29"/>
  <c r="X44" i="29"/>
  <c r="Y51" i="29"/>
  <c r="AA51" i="29" s="1"/>
  <c r="Y9" i="29"/>
  <c r="AA9" i="29" s="1"/>
  <c r="Y17" i="29"/>
  <c r="AA17" i="29" s="1"/>
  <c r="Y25" i="29"/>
  <c r="AA25" i="29" s="1"/>
  <c r="Y33" i="29"/>
  <c r="AA33" i="29" s="1"/>
  <c r="Y41" i="29"/>
  <c r="AA41" i="29" s="1"/>
  <c r="X5" i="29"/>
  <c r="X21" i="29"/>
  <c r="X29" i="29"/>
  <c r="X48" i="29"/>
  <c r="Y26" i="29"/>
  <c r="AA26" i="29" s="1"/>
  <c r="X14" i="29"/>
  <c r="X46" i="29"/>
  <c r="Y48" i="29"/>
  <c r="AA48" i="29" s="1"/>
  <c r="Y27" i="29"/>
  <c r="AA27" i="29" s="1"/>
  <c r="X15" i="29"/>
  <c r="I4" i="32"/>
  <c r="I13" i="32"/>
  <c r="I30" i="32"/>
  <c r="I46" i="32"/>
  <c r="I47" i="32"/>
  <c r="I14" i="32"/>
  <c r="I37" i="32"/>
  <c r="I51" i="32"/>
  <c r="I33" i="32"/>
  <c r="I19" i="32"/>
  <c r="I23" i="32"/>
  <c r="I27" i="32"/>
  <c r="I31" i="32"/>
  <c r="I35" i="32"/>
  <c r="I16" i="32"/>
  <c r="I43" i="32"/>
  <c r="I28" i="32"/>
  <c r="I42" i="32"/>
  <c r="I50" i="32"/>
  <c r="I22" i="32"/>
  <c r="I17" i="32"/>
  <c r="I24" i="32"/>
  <c r="I36" i="32"/>
  <c r="I41" i="32"/>
  <c r="I38" i="32"/>
  <c r="I20" i="32"/>
  <c r="I40" i="32"/>
  <c r="I48" i="32"/>
  <c r="I6" i="32"/>
  <c r="I25" i="32"/>
  <c r="I26" i="32"/>
  <c r="I34" i="32"/>
  <c r="I39" i="32"/>
  <c r="I44" i="32"/>
  <c r="X30" i="32"/>
  <c r="X14" i="32"/>
  <c r="X20" i="32"/>
  <c r="X4" i="32"/>
  <c r="I12" i="32"/>
  <c r="X7" i="32"/>
  <c r="X22" i="32"/>
  <c r="I3" i="32"/>
  <c r="F28" i="29"/>
  <c r="D28" i="29"/>
  <c r="G27" i="17"/>
  <c r="D27" i="17"/>
  <c r="G28" i="17"/>
  <c r="D28" i="17"/>
  <c r="G25" i="17"/>
  <c r="D25" i="17"/>
  <c r="G26" i="17"/>
  <c r="D26" i="17"/>
  <c r="C32" i="17"/>
  <c r="C31" i="17"/>
  <c r="C38" i="1"/>
  <c r="C37" i="1"/>
  <c r="D29" i="16"/>
  <c r="D31" i="16"/>
  <c r="D27" i="16"/>
  <c r="D25" i="16"/>
  <c r="D23" i="16"/>
  <c r="D21" i="16"/>
  <c r="D19" i="16"/>
  <c r="D31" i="13"/>
  <c r="D29" i="13"/>
  <c r="D27" i="13"/>
  <c r="D25" i="13"/>
  <c r="D23" i="13"/>
  <c r="D21" i="13"/>
  <c r="D19" i="13"/>
  <c r="L33" i="1"/>
  <c r="L31" i="1"/>
  <c r="L29" i="1"/>
  <c r="L27" i="1"/>
  <c r="L25" i="1"/>
  <c r="L23" i="1"/>
  <c r="L21" i="1"/>
  <c r="L19" i="1"/>
  <c r="K25" i="16"/>
  <c r="K27" i="16"/>
  <c r="J27" i="16"/>
  <c r="K23" i="13"/>
  <c r="H25" i="13"/>
  <c r="K27" i="13"/>
  <c r="F27" i="13"/>
  <c r="J4" i="1"/>
  <c r="I10" i="1"/>
  <c r="H10" i="1"/>
  <c r="F10" i="13"/>
  <c r="J27" i="1"/>
  <c r="K23" i="17"/>
  <c r="K31" i="1"/>
  <c r="K25" i="17"/>
  <c r="K27" i="17"/>
  <c r="J21" i="1"/>
  <c r="H28" i="13"/>
  <c r="J25" i="16"/>
  <c r="L25" i="16"/>
  <c r="F31" i="16"/>
  <c r="H27" i="16"/>
  <c r="F25" i="16"/>
  <c r="L27" i="16"/>
  <c r="J27" i="13"/>
  <c r="L27" i="13"/>
  <c r="H25" i="16"/>
  <c r="F32" i="16"/>
  <c r="F30" i="16"/>
  <c r="H30" i="16"/>
  <c r="F28" i="16"/>
  <c r="H28" i="16"/>
  <c r="F27" i="16"/>
  <c r="H26" i="16"/>
  <c r="F26" i="16"/>
  <c r="J31" i="13"/>
  <c r="H31" i="13"/>
  <c r="L31" i="13"/>
  <c r="F32" i="13"/>
  <c r="H32" i="13"/>
  <c r="F28" i="13"/>
  <c r="H27" i="13"/>
  <c r="K29" i="13"/>
  <c r="H30" i="13"/>
  <c r="L29" i="13"/>
  <c r="F29" i="13"/>
  <c r="F30" i="13"/>
  <c r="J29" i="13"/>
  <c r="H29" i="13"/>
  <c r="K29" i="16"/>
  <c r="L29" i="16"/>
  <c r="J29" i="16"/>
  <c r="H31" i="16"/>
  <c r="J31" i="16"/>
  <c r="H29" i="16"/>
  <c r="K31" i="16"/>
  <c r="L31" i="16"/>
  <c r="F29" i="16"/>
  <c r="H32" i="16"/>
  <c r="K31" i="13"/>
  <c r="F31" i="13"/>
  <c r="K21" i="17"/>
  <c r="K19" i="17"/>
  <c r="F19" i="16"/>
  <c r="G34" i="1"/>
  <c r="K23" i="16"/>
  <c r="H23" i="16"/>
  <c r="H24" i="16"/>
  <c r="J23" i="16"/>
  <c r="F24" i="16"/>
  <c r="J25" i="1"/>
  <c r="K21" i="1"/>
  <c r="G25" i="1"/>
  <c r="I29" i="1"/>
  <c r="L23" i="16"/>
  <c r="F23" i="16"/>
  <c r="F26" i="13"/>
  <c r="L25" i="13"/>
  <c r="D22" i="17"/>
  <c r="G22" i="17"/>
  <c r="G21" i="17"/>
  <c r="D23" i="17"/>
  <c r="G23" i="17"/>
  <c r="G19" i="17"/>
  <c r="D19" i="17"/>
  <c r="I25" i="1"/>
  <c r="I21" i="1"/>
  <c r="I33" i="1"/>
  <c r="J31" i="1"/>
  <c r="J33" i="1"/>
  <c r="I23" i="1"/>
  <c r="K23" i="1"/>
  <c r="K29" i="1"/>
  <c r="G29" i="1"/>
  <c r="J19" i="1"/>
  <c r="K27" i="1"/>
  <c r="K33" i="1"/>
  <c r="K25" i="1"/>
  <c r="I27" i="1"/>
  <c r="I19" i="1"/>
  <c r="J23" i="1"/>
  <c r="I31" i="1"/>
  <c r="K19" i="1"/>
  <c r="J29" i="1"/>
  <c r="D20" i="1"/>
  <c r="G20" i="1"/>
  <c r="D19" i="1"/>
  <c r="G19" i="1"/>
  <c r="G28" i="1"/>
  <c r="D27" i="1"/>
  <c r="G27" i="1"/>
  <c r="D28" i="1"/>
  <c r="D24" i="17"/>
  <c r="G24" i="17"/>
  <c r="D22" i="1"/>
  <c r="D21" i="1"/>
  <c r="D26" i="1"/>
  <c r="G26" i="1"/>
  <c r="D25" i="1"/>
  <c r="D30" i="1"/>
  <c r="D29" i="1"/>
  <c r="D34" i="1"/>
  <c r="D33" i="1"/>
  <c r="G33" i="1"/>
  <c r="G22" i="1"/>
  <c r="G21" i="1"/>
  <c r="D21" i="17"/>
  <c r="G20" i="17"/>
  <c r="D20" i="17"/>
  <c r="H21" i="13"/>
  <c r="F20" i="13"/>
  <c r="G24" i="1"/>
  <c r="D24" i="1"/>
  <c r="D23" i="1"/>
  <c r="G23" i="1"/>
  <c r="G31" i="1"/>
  <c r="D31" i="1"/>
  <c r="D32" i="1"/>
  <c r="G32" i="1"/>
  <c r="G30" i="1"/>
  <c r="H20" i="13"/>
  <c r="Z20" i="29" l="1"/>
  <c r="I2" i="32"/>
  <c r="L2" i="32" s="1"/>
  <c r="L10" i="16"/>
  <c r="K10" i="17"/>
  <c r="X9" i="32"/>
  <c r="X27" i="32"/>
  <c r="X19" i="29"/>
  <c r="Z19" i="29" s="1"/>
  <c r="X47" i="29"/>
  <c r="Z47" i="29" s="1"/>
  <c r="X50" i="29"/>
  <c r="Z50" i="29" s="1"/>
  <c r="X10" i="32"/>
  <c r="I45" i="32"/>
  <c r="K45" i="32" s="1"/>
  <c r="X37" i="32"/>
  <c r="I29" i="32"/>
  <c r="L29" i="32" s="1"/>
  <c r="I21" i="32"/>
  <c r="K21" i="32" s="1"/>
  <c r="X22" i="29"/>
  <c r="Z22" i="29" s="1"/>
  <c r="X8" i="32"/>
  <c r="X25" i="32"/>
  <c r="X3" i="32"/>
  <c r="X9" i="29"/>
  <c r="Z9" i="29" s="1"/>
  <c r="X26" i="32"/>
  <c r="I18" i="32"/>
  <c r="L18" i="32" s="1"/>
  <c r="X13" i="32"/>
  <c r="I49" i="32"/>
  <c r="K49" i="32" s="1"/>
  <c r="X5" i="32"/>
  <c r="X23" i="32"/>
  <c r="I11" i="32"/>
  <c r="L11" i="32" s="1"/>
  <c r="Z44" i="29"/>
  <c r="Z27" i="29"/>
  <c r="Z49" i="29"/>
  <c r="Z46" i="29"/>
  <c r="Z48" i="29"/>
  <c r="Z34" i="29"/>
  <c r="Z38" i="29"/>
  <c r="I15" i="32"/>
  <c r="L15" i="32" s="1"/>
  <c r="X33" i="29"/>
  <c r="Z33" i="29" s="1"/>
  <c r="Z5" i="29"/>
  <c r="Z36" i="29"/>
  <c r="X40" i="29"/>
  <c r="Z40" i="29" s="1"/>
  <c r="Z12" i="29"/>
  <c r="Z35" i="29"/>
  <c r="Z42" i="29"/>
  <c r="X16" i="29"/>
  <c r="Z16" i="29" s="1"/>
  <c r="I7" i="32"/>
  <c r="K7" i="32" s="1"/>
  <c r="I32" i="32"/>
  <c r="K32" i="32" s="1"/>
  <c r="X4" i="29"/>
  <c r="Z4" i="29" s="1"/>
  <c r="Z30" i="29"/>
  <c r="Z52" i="29"/>
  <c r="Z24" i="29"/>
  <c r="Z29" i="29"/>
  <c r="Z39" i="29"/>
  <c r="Z21" i="29"/>
  <c r="Z26" i="29"/>
  <c r="Z41" i="29"/>
  <c r="Z25" i="29"/>
  <c r="Z51" i="29"/>
  <c r="Z14" i="29"/>
  <c r="Z43" i="29"/>
  <c r="Z17" i="29"/>
  <c r="Z23" i="29"/>
  <c r="Z37" i="29"/>
  <c r="Z32" i="29"/>
  <c r="I9" i="32"/>
  <c r="K9" i="32" s="1"/>
  <c r="Z18" i="29"/>
  <c r="Z6" i="29"/>
  <c r="Z28" i="29"/>
  <c r="X10" i="29"/>
  <c r="Z10" i="29" s="1"/>
  <c r="Z31" i="29"/>
  <c r="Z45" i="29"/>
  <c r="K3" i="32"/>
  <c r="L3" i="32"/>
  <c r="L42" i="32"/>
  <c r="K42" i="32"/>
  <c r="K19" i="32"/>
  <c r="L19" i="32"/>
  <c r="K6" i="32"/>
  <c r="L6" i="32"/>
  <c r="K12" i="32"/>
  <c r="L12" i="32"/>
  <c r="K50" i="32"/>
  <c r="L50" i="32"/>
  <c r="K27" i="32"/>
  <c r="L27" i="32"/>
  <c r="K37" i="32"/>
  <c r="L37" i="32"/>
  <c r="K48" i="32"/>
  <c r="L48" i="32"/>
  <c r="K14" i="32"/>
  <c r="L14" i="32"/>
  <c r="K28" i="32"/>
  <c r="L28" i="32"/>
  <c r="K4" i="32"/>
  <c r="L4" i="32"/>
  <c r="L44" i="32"/>
  <c r="K44" i="32"/>
  <c r="K36" i="32"/>
  <c r="L36" i="32"/>
  <c r="K39" i="32"/>
  <c r="L39" i="32"/>
  <c r="L34" i="32"/>
  <c r="K34" i="32"/>
  <c r="L17" i="32"/>
  <c r="K17" i="32"/>
  <c r="K16" i="32"/>
  <c r="L16" i="32"/>
  <c r="L33" i="32"/>
  <c r="K33" i="32"/>
  <c r="K46" i="32"/>
  <c r="L46" i="32"/>
  <c r="K13" i="32"/>
  <c r="L13" i="32"/>
  <c r="L5" i="32"/>
  <c r="K5" i="32"/>
  <c r="K43" i="32"/>
  <c r="L43" i="32"/>
  <c r="K38" i="32"/>
  <c r="L38" i="32"/>
  <c r="K2" i="32"/>
  <c r="K26" i="32"/>
  <c r="L26" i="32"/>
  <c r="L41" i="32"/>
  <c r="K41" i="32"/>
  <c r="K22" i="32"/>
  <c r="L22" i="32"/>
  <c r="K35" i="32"/>
  <c r="L35" i="32"/>
  <c r="K51" i="32"/>
  <c r="L51" i="32"/>
  <c r="K30" i="32"/>
  <c r="L30" i="32"/>
  <c r="K23" i="32"/>
  <c r="L23" i="32"/>
  <c r="L40" i="32"/>
  <c r="K40" i="32"/>
  <c r="L20" i="32"/>
  <c r="K20" i="32"/>
  <c r="L24" i="32"/>
  <c r="K24" i="32"/>
  <c r="K47" i="32"/>
  <c r="L47" i="32"/>
  <c r="L25" i="32"/>
  <c r="K25" i="32"/>
  <c r="K31" i="32"/>
  <c r="L31" i="32"/>
  <c r="Z8" i="29"/>
  <c r="X6" i="32"/>
  <c r="X21" i="32"/>
  <c r="I8" i="32"/>
  <c r="X15" i="32"/>
  <c r="X31" i="32"/>
  <c r="I10" i="32"/>
  <c r="Z15" i="29"/>
  <c r="S26" i="29"/>
  <c r="H24" i="29" s="1"/>
  <c r="J24" i="29" s="1"/>
  <c r="L24" i="29" s="1"/>
  <c r="X13" i="29"/>
  <c r="Z13" i="29" s="1"/>
  <c r="X11" i="29"/>
  <c r="Z11" i="29" s="1"/>
  <c r="Z7" i="29"/>
  <c r="Z3" i="29"/>
  <c r="K13" i="1"/>
  <c r="L23" i="13"/>
  <c r="F24" i="13"/>
  <c r="J23" i="13"/>
  <c r="H24" i="13"/>
  <c r="F23" i="13"/>
  <c r="H19" i="16"/>
  <c r="J21" i="13"/>
  <c r="K25" i="13"/>
  <c r="L21" i="13"/>
  <c r="H23" i="13"/>
  <c r="J19" i="13"/>
  <c r="L19" i="13"/>
  <c r="K21" i="13"/>
  <c r="H19" i="13"/>
  <c r="F22" i="13"/>
  <c r="H20" i="16"/>
  <c r="K19" i="13"/>
  <c r="H22" i="13"/>
  <c r="F21" i="13"/>
  <c r="J19" i="16"/>
  <c r="F19" i="13"/>
  <c r="F25" i="13"/>
  <c r="J25" i="13"/>
  <c r="H26" i="13"/>
  <c r="H22" i="16"/>
  <c r="L19" i="16"/>
  <c r="L21" i="16"/>
  <c r="K19" i="16"/>
  <c r="F20" i="16"/>
  <c r="F21" i="16"/>
  <c r="F22" i="16"/>
  <c r="H21" i="16"/>
  <c r="K21" i="16"/>
  <c r="G10" i="17"/>
  <c r="J21" i="16"/>
  <c r="F13" i="1"/>
  <c r="F10" i="1"/>
  <c r="K10" i="1"/>
  <c r="G10" i="1"/>
  <c r="L10" i="13"/>
  <c r="L45" i="32" l="1"/>
  <c r="L7" i="32"/>
  <c r="L21" i="32"/>
  <c r="K18" i="32"/>
  <c r="K11" i="32"/>
  <c r="L49" i="32"/>
  <c r="K29" i="32"/>
  <c r="K15" i="32"/>
  <c r="L32" i="32"/>
  <c r="L9" i="32"/>
  <c r="L8" i="32"/>
  <c r="K8" i="32"/>
  <c r="K10" i="32"/>
  <c r="L10" i="32"/>
  <c r="S22" i="29"/>
  <c r="H20" i="29" s="1"/>
  <c r="H28" i="29" l="1"/>
  <c r="J20" i="29"/>
  <c r="L20" i="29" l="1"/>
  <c r="L28" i="29" s="1"/>
  <c r="K35" i="29" s="1"/>
  <c r="J28" i="29"/>
  <c r="C2" i="32" l="1"/>
  <c r="J2" i="31" l="1"/>
  <c r="F12" i="29"/>
</calcChain>
</file>

<file path=xl/sharedStrings.xml><?xml version="1.0" encoding="utf-8"?>
<sst xmlns="http://schemas.openxmlformats.org/spreadsheetml/2006/main" count="473" uniqueCount="230">
  <si>
    <t>学校名</t>
    <rPh sb="0" eb="3">
      <t>ガッコウメイ</t>
    </rPh>
    <phoneticPr fontId="2"/>
  </si>
  <si>
    <t>位置</t>
    <rPh sb="0" eb="2">
      <t>イチ</t>
    </rPh>
    <phoneticPr fontId="2"/>
  </si>
  <si>
    <t>大将</t>
    <rPh sb="0" eb="2">
      <t>タイショウ</t>
    </rPh>
    <phoneticPr fontId="2"/>
  </si>
  <si>
    <t>副将</t>
    <rPh sb="0" eb="2">
      <t>フクショウ</t>
    </rPh>
    <phoneticPr fontId="2"/>
  </si>
  <si>
    <t>中堅</t>
    <rPh sb="0" eb="2">
      <t>チュウケン</t>
    </rPh>
    <phoneticPr fontId="2"/>
  </si>
  <si>
    <t>先鋒</t>
    <rPh sb="0" eb="2">
      <t>センポウ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</si>
  <si>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</si>
  <si>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</si>
  <si>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補欠３</t>
    <rPh sb="0" eb="2">
      <t>ホケツ</t>
    </rPh>
    <phoneticPr fontId="2"/>
  </si>
  <si>
    <t>個人戦出場者に○</t>
    <rPh sb="0" eb="3">
      <t>コジンセン</t>
    </rPh>
    <rPh sb="3" eb="6">
      <t>シュツジョウシャ</t>
    </rPh>
    <phoneticPr fontId="2"/>
  </si>
  <si>
    <t>位</t>
    <rPh sb="0" eb="1">
      <t>イ</t>
    </rPh>
    <phoneticPr fontId="2"/>
  </si>
  <si>
    <t>学年</t>
    <rPh sb="0" eb="2">
      <t>ガクネン</t>
    </rPh>
    <phoneticPr fontId="2"/>
  </si>
  <si>
    <t>団体戦出場者に○</t>
    <rPh sb="0" eb="3">
      <t>ダンタイセン</t>
    </rPh>
    <rPh sb="3" eb="6">
      <t>シュツジョウシャ</t>
    </rPh>
    <phoneticPr fontId="2"/>
  </si>
  <si>
    <t>階級</t>
    <rPh sb="0" eb="2">
      <t>カイキュウ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</si>
  <si>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</si>
  <si>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県名</t>
    <rPh sb="0" eb="2">
      <t>ケンメイ</t>
    </rPh>
    <phoneticPr fontId="2"/>
  </si>
  <si>
    <t>県</t>
    <rPh sb="0" eb="1">
      <t>ケン</t>
    </rPh>
    <phoneticPr fontId="2"/>
  </si>
  <si>
    <t>県順位</t>
    <rPh sb="0" eb="1">
      <t>ケン</t>
    </rPh>
    <rPh sb="1" eb="3">
      <t>ジュンイ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</si>
  <si>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</si>
  <si>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</si>
  <si>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</si>
  <si>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</si>
  <si>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宮城</t>
    <rPh sb="0" eb="2">
      <t>ミヤギ</t>
    </rPh>
    <phoneticPr fontId="2"/>
  </si>
  <si>
    <t>福島</t>
    <rPh sb="0" eb="2">
      <t>フクシマ</t>
    </rPh>
    <phoneticPr fontId="2"/>
  </si>
  <si>
    <t>ふりがな</t>
    <phoneticPr fontId="2"/>
  </si>
  <si>
    <t>学校所在地</t>
    <rPh sb="0" eb="2">
      <t>ガッコウ</t>
    </rPh>
    <rPh sb="2" eb="5">
      <t>ショザイチ</t>
    </rPh>
    <phoneticPr fontId="2"/>
  </si>
  <si>
    <t>住所</t>
    <rPh sb="0" eb="2">
      <t>ジュウショ</t>
    </rPh>
    <phoneticPr fontId="2"/>
  </si>
  <si>
    <t>監督職氏名</t>
    <rPh sb="0" eb="2">
      <t>カントク</t>
    </rPh>
    <rPh sb="2" eb="3">
      <t>ショク</t>
    </rPh>
    <rPh sb="3" eb="5">
      <t>シメイ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</si>
  <si>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</si>
  <si>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</si>
  <si>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携帯</t>
    <rPh sb="0" eb="2">
      <t>ケイタイ</t>
    </rPh>
    <phoneticPr fontId="2"/>
  </si>
  <si>
    <t>県大会
順位</t>
    <rPh sb="0" eb="3">
      <t>ケンタイカイ</t>
    </rPh>
    <rPh sb="4" eb="6">
      <t>ジュンイ</t>
    </rPh>
    <phoneticPr fontId="2"/>
  </si>
  <si>
    <t>選手名</t>
    <rPh sb="0" eb="3">
      <t>センシュメイ</t>
    </rPh>
    <phoneticPr fontId="2"/>
  </si>
  <si>
    <t>コーチ区分</t>
  </si>
  <si>
    <t>体重</t>
  </si>
  <si>
    <t>段位</t>
    <rPh sb="0" eb="1">
      <t>ダン</t>
    </rPh>
    <rPh sb="1" eb="2">
      <t>イ</t>
    </rPh>
    <phoneticPr fontId="2"/>
  </si>
  <si>
    <t>段位</t>
    <rPh sb="0" eb="2">
      <t>ダンイ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</si>
  <si>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</si>
  <si>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</si>
  <si>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校長名</t>
    <rPh sb="0" eb="2">
      <t>コウチョウ</t>
    </rPh>
    <rPh sb="2" eb="3">
      <t>メイ</t>
    </rPh>
    <phoneticPr fontId="2"/>
  </si>
  <si>
    <t>職印</t>
    <rPh sb="0" eb="2">
      <t>ショクイン</t>
    </rPh>
    <phoneticPr fontId="2"/>
  </si>
  <si>
    <t>コーチ名</t>
    <rPh sb="3" eb="4">
      <t>メイ</t>
    </rPh>
    <phoneticPr fontId="2"/>
  </si>
  <si>
    <t>ふりがな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</si>
  <si>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</si>
  <si>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</si>
  <si>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</si>
  <si>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</si>
  <si>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ＴＥＬ</t>
    <phoneticPr fontId="2"/>
  </si>
  <si>
    <t>ふりがな</t>
    <phoneticPr fontId="2"/>
  </si>
  <si>
    <t>ふりがな</t>
    <phoneticPr fontId="2"/>
  </si>
  <si>
    <t>女子団体戦申込書</t>
    <rPh sb="0" eb="2">
      <t>ジョシ</t>
    </rPh>
    <rPh sb="2" eb="3">
      <t>ダン</t>
    </rPh>
    <rPh sb="3" eb="4">
      <t>カラダ</t>
    </rPh>
    <rPh sb="4" eb="5">
      <t>イクサ</t>
    </rPh>
    <rPh sb="5" eb="6">
      <t>サル</t>
    </rPh>
    <rPh sb="6" eb="7">
      <t>コミ</t>
    </rPh>
    <rPh sb="7" eb="8">
      <t>ショ</t>
    </rPh>
    <phoneticPr fontId="2"/>
  </si>
  <si>
    <t>男子団体戦申込書</t>
    <rPh sb="0" eb="1">
      <t>オトコ</t>
    </rPh>
    <rPh sb="1" eb="2">
      <t>コ</t>
    </rPh>
    <rPh sb="2" eb="3">
      <t>ダン</t>
    </rPh>
    <rPh sb="3" eb="4">
      <t>カラダ</t>
    </rPh>
    <rPh sb="4" eb="5">
      <t>イクサ</t>
    </rPh>
    <rPh sb="5" eb="6">
      <t>サル</t>
    </rPh>
    <rPh sb="6" eb="7">
      <t>コミ</t>
    </rPh>
    <rPh sb="7" eb="8">
      <t>ショ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</si>
  <si>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</si>
  <si>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</si>
  <si>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</si>
  <si>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</si>
  <si>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監督</t>
    <rPh sb="0" eb="2">
      <t>カントク</t>
    </rPh>
    <phoneticPr fontId="2"/>
  </si>
  <si>
    <t>コーチ</t>
    <phoneticPr fontId="2"/>
  </si>
  <si>
    <t>コーチ区分</t>
    <rPh sb="3" eb="5">
      <t>クブン</t>
    </rPh>
    <phoneticPr fontId="2"/>
  </si>
  <si>
    <t>教職員</t>
    <rPh sb="0" eb="3">
      <t>キョウショクイン</t>
    </rPh>
    <phoneticPr fontId="2"/>
  </si>
  <si>
    <t>外部</t>
    <rPh sb="0" eb="2">
      <t>ガイブ</t>
    </rPh>
    <phoneticPr fontId="2"/>
  </si>
  <si>
    <t>次鋒</t>
    <rPh sb="0" eb="2">
      <t>ジホウ</t>
    </rPh>
    <phoneticPr fontId="2"/>
  </si>
  <si>
    <t>№</t>
    <phoneticPr fontId="2"/>
  </si>
  <si>
    <t>学校名１</t>
    <rPh sb="0" eb="2">
      <t>ガッコウ</t>
    </rPh>
    <rPh sb="2" eb="3">
      <t>メイ</t>
    </rPh>
    <phoneticPr fontId="2"/>
  </si>
  <si>
    <t>学校名２</t>
    <rPh sb="0" eb="2">
      <t>ガッコウ</t>
    </rPh>
    <rPh sb="2" eb="3">
      <t>メイ</t>
    </rPh>
    <phoneticPr fontId="2"/>
  </si>
  <si>
    <t>学校名３</t>
    <rPh sb="0" eb="2">
      <t>ガッコウ</t>
    </rPh>
    <rPh sb="2" eb="3">
      <t>メイ</t>
    </rPh>
    <phoneticPr fontId="2"/>
  </si>
  <si>
    <t>学校名４</t>
    <rPh sb="0" eb="2">
      <t>ガッコウ</t>
    </rPh>
    <rPh sb="2" eb="3">
      <t>メイ</t>
    </rPh>
    <phoneticPr fontId="2"/>
  </si>
  <si>
    <t>顧問名</t>
    <rPh sb="0" eb="2">
      <t>コモン</t>
    </rPh>
    <rPh sb="2" eb="3">
      <t>メイ</t>
    </rPh>
    <phoneticPr fontId="2"/>
  </si>
  <si>
    <t>審判</t>
    <rPh sb="0" eb="2">
      <t>シンパン</t>
    </rPh>
    <phoneticPr fontId="2"/>
  </si>
  <si>
    <t>副顧問名</t>
    <rPh sb="0" eb="3">
      <t>フクコモン</t>
    </rPh>
    <rPh sb="3" eb="4">
      <t>メイ</t>
    </rPh>
    <phoneticPr fontId="2"/>
  </si>
  <si>
    <t>学校長名</t>
    <rPh sb="0" eb="3">
      <t>ガッコウチョウ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</si>
  <si>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</si>
  <si>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</si>
  <si>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</si>
  <si>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</si>
  <si>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/>
  </si>
  <si>
    <t>性別</t>
    <rPh sb="0" eb="2">
      <t>セイベツ</t>
    </rPh>
    <phoneticPr fontId="2"/>
  </si>
  <si>
    <t>学校名</t>
    <rPh sb="0" eb="2">
      <t>ガッコウ</t>
    </rPh>
    <rPh sb="2" eb="3">
      <t>メイ</t>
    </rPh>
    <phoneticPr fontId="2"/>
  </si>
  <si>
    <t>体重</t>
    <rPh sb="0" eb="2">
      <t>タイジュウ</t>
    </rPh>
    <phoneticPr fontId="2"/>
  </si>
  <si>
    <t>順位</t>
    <rPh sb="0" eb="2">
      <t>ジュンイ</t>
    </rPh>
    <phoneticPr fontId="2"/>
  </si>
  <si>
    <t>ID</t>
    <phoneticPr fontId="2"/>
  </si>
  <si>
    <t>苗字</t>
    <rPh sb="0" eb="2">
      <t>ミョウジ</t>
    </rPh>
    <phoneticPr fontId="2"/>
  </si>
  <si>
    <t>名前</t>
    <rPh sb="0" eb="2">
      <t>ナマエ</t>
    </rPh>
    <phoneticPr fontId="2"/>
  </si>
  <si>
    <t>苗字ふりがな</t>
    <rPh sb="0" eb="2">
      <t>ミョウジ</t>
    </rPh>
    <phoneticPr fontId="2"/>
  </si>
  <si>
    <t>名前ふりがな</t>
    <rPh sb="0" eb="2">
      <t>ナマエ</t>
    </rPh>
    <phoneticPr fontId="2"/>
  </si>
  <si>
    <t>計</t>
    <rPh sb="0" eb="1">
      <t>ケイ</t>
    </rPh>
    <phoneticPr fontId="2"/>
  </si>
  <si>
    <t>大将</t>
  </si>
  <si>
    <t>監督№</t>
    <rPh sb="0" eb="2">
      <t>カントク</t>
    </rPh>
    <phoneticPr fontId="2"/>
  </si>
  <si>
    <t>出場＝１</t>
    <rPh sb="0" eb="2">
      <t>シュツジョウ</t>
    </rPh>
    <phoneticPr fontId="2"/>
  </si>
  <si>
    <t>ふりがな</t>
    <phoneticPr fontId="2"/>
  </si>
  <si>
    <t>監督電話番号</t>
    <rPh sb="0" eb="2">
      <t>カントク</t>
    </rPh>
    <rPh sb="2" eb="4">
      <t>デンワ</t>
    </rPh>
    <rPh sb="4" eb="6">
      <t>バンゴウ</t>
    </rPh>
    <phoneticPr fontId="2"/>
  </si>
  <si>
    <t>監督携帯番号</t>
    <rPh sb="0" eb="2">
      <t>カントク</t>
    </rPh>
    <rPh sb="2" eb="4">
      <t>ケイタイ</t>
    </rPh>
    <rPh sb="4" eb="6">
      <t>バンゴウ</t>
    </rPh>
    <phoneticPr fontId="2"/>
  </si>
  <si>
    <t>男子団体オーダー</t>
    <rPh sb="0" eb="2">
      <t>ダンシ</t>
    </rPh>
    <rPh sb="2" eb="4">
      <t>ダンタイ</t>
    </rPh>
    <phoneticPr fontId="2"/>
  </si>
  <si>
    <t>先鋒</t>
  </si>
  <si>
    <t>次鋒</t>
  </si>
  <si>
    <t>中堅</t>
  </si>
  <si>
    <t>副将</t>
  </si>
  <si>
    <t>女子団体オーダー</t>
    <rPh sb="0" eb="2">
      <t>ジョシ</t>
    </rPh>
    <rPh sb="2" eb="4">
      <t>ダンタイ</t>
    </rPh>
    <phoneticPr fontId="2"/>
  </si>
  <si>
    <t>ID</t>
    <phoneticPr fontId="2"/>
  </si>
  <si>
    <t>氏　名</t>
    <rPh sb="0" eb="1">
      <t>シ</t>
    </rPh>
    <rPh sb="2" eb="3">
      <t>メイ</t>
    </rPh>
    <phoneticPr fontId="2"/>
  </si>
  <si>
    <t>補欠１</t>
    <phoneticPr fontId="2"/>
  </si>
  <si>
    <t>補欠２</t>
  </si>
  <si>
    <t>補欠３</t>
  </si>
  <si>
    <t>名</t>
    <rPh sb="0" eb="1">
      <t>メイ</t>
    </rPh>
    <phoneticPr fontId="2"/>
  </si>
  <si>
    <t>せい</t>
    <phoneticPr fontId="2"/>
  </si>
  <si>
    <t>めい</t>
    <phoneticPr fontId="2"/>
  </si>
  <si>
    <t>個人戦</t>
    <rPh sb="0" eb="3">
      <t>コジンセン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</si>
  <si>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</si>
  <si>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</si>
  <si>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男子個人出場選手</t>
    <rPh sb="0" eb="2">
      <t>ダンシ</t>
    </rPh>
    <rPh sb="2" eb="4">
      <t>コジン</t>
    </rPh>
    <rPh sb="4" eb="6">
      <t>シュツジョウ</t>
    </rPh>
    <rPh sb="6" eb="8">
      <t>センシュ</t>
    </rPh>
    <phoneticPr fontId="2"/>
  </si>
  <si>
    <t>団体戦</t>
    <rPh sb="0" eb="3">
      <t>ダンタイセン</t>
    </rPh>
    <phoneticPr fontId="2"/>
  </si>
  <si>
    <t>女子個人出場選手</t>
    <rPh sb="0" eb="2">
      <t>ジョシ</t>
    </rPh>
    <rPh sb="2" eb="4">
      <t>コジン</t>
    </rPh>
    <rPh sb="4" eb="6">
      <t>シュツジョウ</t>
    </rPh>
    <rPh sb="6" eb="8">
      <t>センシュ</t>
    </rPh>
    <phoneticPr fontId="2"/>
  </si>
  <si>
    <t>宿泊</t>
    <rPh sb="0" eb="2">
      <t>シュクハク</t>
    </rPh>
    <phoneticPr fontId="2"/>
  </si>
  <si>
    <t>№</t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</si>
  <si>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</si>
  <si>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</si>
  <si>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学校ID</t>
    <rPh sb="0" eb="2">
      <t>ガッコウ</t>
    </rPh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</si>
  <si>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</si>
  <si>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</si>
  <si>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参</t>
    <rPh sb="0" eb="1">
      <t>サン</t>
    </rPh>
    <phoneticPr fontId="2"/>
  </si>
  <si>
    <t>男-1_女-2</t>
    <rPh sb="0" eb="1">
      <t>オトコ</t>
    </rPh>
    <rPh sb="4" eb="5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</si>
  <si>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</si>
  <si>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</si>
  <si>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参加料およびプログラム代　納付書</t>
    <rPh sb="0" eb="3">
      <t>サンカリョウ</t>
    </rPh>
    <rPh sb="11" eb="12">
      <t>ダイ</t>
    </rPh>
    <rPh sb="13" eb="16">
      <t>ノウフショ</t>
    </rPh>
    <phoneticPr fontId="2"/>
  </si>
  <si>
    <t>県　　名</t>
    <rPh sb="0" eb="1">
      <t>ケン</t>
    </rPh>
    <rPh sb="3" eb="4">
      <t>メイ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</si>
  <si>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</si>
  <si>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</si>
  <si>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① 団　体
        （人）</t>
    <phoneticPr fontId="2"/>
  </si>
  <si>
    <t>② 個　人
        （人）</t>
    <phoneticPr fontId="2"/>
  </si>
  <si>
    <t>③団体・個人
両方に参加 （人）</t>
    <phoneticPr fontId="2"/>
  </si>
  <si>
    <t>④合計人数
（①＋②－③）</t>
    <phoneticPr fontId="2"/>
  </si>
  <si>
    <t>人</t>
    <rPh sb="0" eb="1">
      <t>ニン</t>
    </rPh>
    <phoneticPr fontId="2"/>
  </si>
  <si>
    <t>合  計</t>
    <rPh sb="0" eb="1">
      <t>ゴウ</t>
    </rPh>
    <rPh sb="3" eb="4">
      <t>ケイ</t>
    </rPh>
    <phoneticPr fontId="2"/>
  </si>
  <si>
    <t>プログラム事前注文</t>
    <rPh sb="5" eb="7">
      <t>ジゼン</t>
    </rPh>
    <rPh sb="7" eb="9">
      <t>チュウモン</t>
    </rPh>
    <phoneticPr fontId="2"/>
  </si>
  <si>
    <t>冊</t>
    <rPh sb="0" eb="1">
      <t>サツ</t>
    </rPh>
    <phoneticPr fontId="2"/>
  </si>
  <si>
    <t xml:space="preserve"> 振　込　金　額</t>
    <rPh sb="1" eb="2">
      <t>フ</t>
    </rPh>
    <rPh sb="3" eb="4">
      <t>コ</t>
    </rPh>
    <rPh sb="5" eb="6">
      <t>キン</t>
    </rPh>
    <rPh sb="7" eb="8">
      <t>ガク</t>
    </rPh>
    <phoneticPr fontId="2"/>
  </si>
  <si>
    <t>提出責任者</t>
    <rPh sb="0" eb="2">
      <t>テイシュツ</t>
    </rPh>
    <rPh sb="2" eb="5">
      <t>セキニンシャ</t>
    </rPh>
    <phoneticPr fontId="2"/>
  </si>
  <si>
    <t>【振込先】</t>
    <rPh sb="1" eb="4">
      <t>フリコミサキ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</si>
  <si>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</si>
  <si>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</si>
  <si>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東北中学校体育大会</t>
    <rPh sb="0" eb="2">
      <t>トウホク</t>
    </rPh>
    <rPh sb="2" eb="5">
      <t>チュウガッコウ</t>
    </rPh>
    <rPh sb="5" eb="7">
      <t>タイイク</t>
    </rPh>
    <rPh sb="7" eb="9">
      <t>タイカイ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</si>
  <si>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</si>
  <si>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</si>
  <si>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東北中学校柔道大会</t>
    <rPh sb="0" eb="2">
      <t>トウホク</t>
    </rPh>
    <rPh sb="2" eb="5">
      <t>チュウガッコウ</t>
    </rPh>
    <rPh sb="5" eb="7">
      <t>ジュウドウ</t>
    </rPh>
    <rPh sb="7" eb="9">
      <t>タイカイ</t>
    </rPh>
    <phoneticPr fontId="2"/>
  </si>
  <si>
    <t>ふりがな</t>
    <phoneticPr fontId="2"/>
  </si>
  <si>
    <t>職名・コーチ区分リスト</t>
    <rPh sb="0" eb="2">
      <t>ショクメイ</t>
    </rPh>
    <rPh sb="6" eb="8">
      <t>クブン</t>
    </rPh>
    <phoneticPr fontId="2"/>
  </si>
  <si>
    <t>教諭</t>
    <rPh sb="0" eb="2">
      <t>キョウユ</t>
    </rPh>
    <phoneticPr fontId="2"/>
  </si>
  <si>
    <t>学校長名</t>
    <rPh sb="0" eb="3">
      <t>ガッコウチョウ</t>
    </rPh>
    <rPh sb="3" eb="4">
      <t>メイ</t>
    </rPh>
    <phoneticPr fontId="2"/>
  </si>
  <si>
    <t>講師</t>
    <rPh sb="0" eb="2">
      <t>コウシ</t>
    </rPh>
    <phoneticPr fontId="2"/>
  </si>
  <si>
    <t>県№</t>
    <rPh sb="0" eb="1">
      <t>ケン</t>
    </rPh>
    <phoneticPr fontId="2"/>
  </si>
  <si>
    <t>郵便番号</t>
    <rPh sb="0" eb="4">
      <t>ユウビンバンゴウ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</si>
  <si>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</si>
  <si>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</si>
  <si>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※監督になる先生は電話番号を入力する！</t>
    <rPh sb="1" eb="3">
      <t>カントク</t>
    </rPh>
    <rPh sb="6" eb="8">
      <t>センセイ</t>
    </rPh>
    <rPh sb="9" eb="11">
      <t>デンワ</t>
    </rPh>
    <rPh sb="11" eb="13">
      <t>バンゴウ</t>
    </rPh>
    <rPh sb="14" eb="16">
      <t>ニュウリョク</t>
    </rPh>
    <phoneticPr fontId="2"/>
  </si>
  <si>
    <t>正顧問</t>
    <rPh sb="0" eb="1">
      <t>セイ</t>
    </rPh>
    <rPh sb="1" eb="3">
      <t>コモン</t>
    </rPh>
    <phoneticPr fontId="2"/>
  </si>
  <si>
    <t>氏　名</t>
    <rPh sb="0" eb="1">
      <t>シメイ</t>
    </rPh>
    <phoneticPr fontId="2"/>
  </si>
  <si>
    <t>ふりがな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</si>
  <si>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</si>
  <si>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副顧問</t>
    <rPh sb="0" eb="3">
      <t>フクコモン</t>
    </rPh>
    <phoneticPr fontId="2"/>
  </si>
  <si>
    <t>ふりがな</t>
    <phoneticPr fontId="2"/>
  </si>
  <si>
    <t>○東北大会や保険登録などに活用するため、苗字と名前を分けて入力してください！
　プログラム用に右の選手マスターに名前が自動作成されます！
○各大会への申し込みの際は、選手の「学年」「段位」「体重」を入力してください！
○追加の部員については「例」にしたがって確実に入力してください！</t>
    <rPh sb="1" eb="3">
      <t>トウホク</t>
    </rPh>
    <rPh sb="3" eb="5">
      <t>タイカイ</t>
    </rPh>
    <rPh sb="6" eb="8">
      <t>ホケン</t>
    </rPh>
    <rPh sb="8" eb="10">
      <t>トウロク</t>
    </rPh>
    <rPh sb="13" eb="15">
      <t>カツヨウ</t>
    </rPh>
    <rPh sb="20" eb="22">
      <t>ミョウジ</t>
    </rPh>
    <rPh sb="23" eb="25">
      <t>ナマエ</t>
    </rPh>
    <rPh sb="26" eb="27">
      <t>ワ</t>
    </rPh>
    <rPh sb="29" eb="31">
      <t>ニュウリョク</t>
    </rPh>
    <rPh sb="45" eb="46">
      <t>ヨウ</t>
    </rPh>
    <rPh sb="47" eb="48">
      <t>ミギ</t>
    </rPh>
    <rPh sb="49" eb="51">
      <t>センシュ</t>
    </rPh>
    <rPh sb="56" eb="58">
      <t>ナマエ</t>
    </rPh>
    <rPh sb="59" eb="61">
      <t>ジドウ</t>
    </rPh>
    <rPh sb="61" eb="63">
      <t>サクセイ</t>
    </rPh>
    <rPh sb="70" eb="71">
      <t>カク</t>
    </rPh>
    <rPh sb="71" eb="72">
      <t>タイ</t>
    </rPh>
    <rPh sb="72" eb="73">
      <t>カイ</t>
    </rPh>
    <rPh sb="75" eb="76">
      <t>モウ</t>
    </rPh>
    <rPh sb="77" eb="78">
      <t>コ</t>
    </rPh>
    <rPh sb="80" eb="81">
      <t>サイ</t>
    </rPh>
    <rPh sb="83" eb="85">
      <t>センシュ</t>
    </rPh>
    <rPh sb="87" eb="89">
      <t>ガクネン</t>
    </rPh>
    <rPh sb="91" eb="93">
      <t>ダンイ</t>
    </rPh>
    <rPh sb="95" eb="97">
      <t>タイジュウ</t>
    </rPh>
    <rPh sb="99" eb="101">
      <t>ニュウリョク</t>
    </rPh>
    <rPh sb="110" eb="112">
      <t>ツイカ</t>
    </rPh>
    <rPh sb="113" eb="115">
      <t>ブイン</t>
    </rPh>
    <rPh sb="121" eb="122">
      <t>レイ</t>
    </rPh>
    <rPh sb="129" eb="131">
      <t>カクジツ</t>
    </rPh>
    <rPh sb="132" eb="134">
      <t>ニュウリョク</t>
    </rPh>
    <phoneticPr fontId="2"/>
  </si>
  <si>
    <t>氏　名　入　力　欄
※例に従って入力してください！</t>
    <rPh sb="0" eb="1">
      <t>シ</t>
    </rPh>
    <rPh sb="2" eb="3">
      <t>メイ</t>
    </rPh>
    <rPh sb="4" eb="5">
      <t>ニュウ</t>
    </rPh>
    <rPh sb="6" eb="7">
      <t>チカラ</t>
    </rPh>
    <rPh sb="8" eb="9">
      <t>ラン</t>
    </rPh>
    <rPh sb="11" eb="12">
      <t>レイ</t>
    </rPh>
    <rPh sb="13" eb="14">
      <t>シタガ</t>
    </rPh>
    <rPh sb="16" eb="18">
      <t>ニュウリョク</t>
    </rPh>
    <phoneticPr fontId="2"/>
  </si>
  <si>
    <t>副顧問・外部ｺｰﾁ名</t>
    <rPh sb="0" eb="3">
      <t>フクコモン</t>
    </rPh>
    <rPh sb="4" eb="6">
      <t>ガイブ</t>
    </rPh>
    <rPh sb="9" eb="10">
      <t>メイ</t>
    </rPh>
    <phoneticPr fontId="2"/>
  </si>
  <si>
    <t>№</t>
    <phoneticPr fontId="2"/>
  </si>
  <si>
    <t>№</t>
    <phoneticPr fontId="2"/>
  </si>
  <si>
    <t>フリガナ</t>
    <phoneticPr fontId="2"/>
  </si>
  <si>
    <t>ふくしま</t>
    <phoneticPr fontId="2"/>
  </si>
  <si>
    <t>たろう</t>
    <phoneticPr fontId="2"/>
  </si>
  <si>
    <t>審判</t>
    <rPh sb="0" eb="2">
      <t>シンパン</t>
    </rPh>
    <phoneticPr fontId="2"/>
  </si>
  <si>
    <t>コーチ１</t>
    <phoneticPr fontId="2"/>
  </si>
  <si>
    <t>コーチ２</t>
    <phoneticPr fontId="2"/>
  </si>
  <si>
    <t>性別</t>
    <rPh sb="0" eb="2">
      <t>セイベツ</t>
    </rPh>
    <phoneticPr fontId="2"/>
  </si>
  <si>
    <t>県№</t>
    <rPh sb="0" eb="1">
      <t>ケン</t>
    </rPh>
    <phoneticPr fontId="2"/>
  </si>
  <si>
    <t>階級</t>
    <rPh sb="0" eb="2">
      <t>カイキュウ</t>
    </rPh>
    <phoneticPr fontId="2"/>
  </si>
  <si>
    <t>順位</t>
    <rPh sb="0" eb="2">
      <t>ジュンイ</t>
    </rPh>
    <phoneticPr fontId="2"/>
  </si>
  <si>
    <t>ﾁｰﾑID</t>
    <phoneticPr fontId="2"/>
  </si>
  <si>
    <t>№</t>
    <phoneticPr fontId="2"/>
  </si>
  <si>
    <t>選手ID</t>
    <rPh sb="0" eb="2">
      <t>センシュ</t>
    </rPh>
    <phoneticPr fontId="2"/>
  </si>
  <si>
    <t>参加料</t>
    <rPh sb="0" eb="3">
      <t>サンカリョウ</t>
    </rPh>
    <phoneticPr fontId="2"/>
  </si>
  <si>
    <t>2,000</t>
    <phoneticPr fontId="2"/>
  </si>
  <si>
    <t>プログラム代</t>
    <rPh sb="5" eb="6">
      <t>ダイ</t>
    </rPh>
    <phoneticPr fontId="2"/>
  </si>
  <si>
    <t>1,000</t>
    <phoneticPr fontId="2"/>
  </si>
  <si>
    <t>銀行名</t>
    <rPh sb="0" eb="3">
      <t>ギンコウメイ</t>
    </rPh>
    <phoneticPr fontId="2"/>
  </si>
  <si>
    <t>口座番号</t>
    <rPh sb="0" eb="2">
      <t>コウザ</t>
    </rPh>
    <rPh sb="2" eb="4">
      <t>バンゴウ</t>
    </rPh>
    <phoneticPr fontId="2"/>
  </si>
  <si>
    <t>口座名</t>
    <rPh sb="0" eb="2">
      <t>コウザ</t>
    </rPh>
    <rPh sb="2" eb="3">
      <t>メイ</t>
    </rPh>
    <phoneticPr fontId="2"/>
  </si>
  <si>
    <t>銀行名　</t>
    <rPh sb="0" eb="3">
      <t>ギンコウメイ</t>
    </rPh>
    <phoneticPr fontId="2"/>
  </si>
  <si>
    <t>口座名　</t>
    <rPh sb="0" eb="2">
      <t>コウザ</t>
    </rPh>
    <rPh sb="2" eb="3">
      <t>メイ</t>
    </rPh>
    <phoneticPr fontId="2"/>
  </si>
  <si>
    <t>男子団体</t>
    <rPh sb="0" eb="2">
      <t>ダンシ</t>
    </rPh>
    <rPh sb="2" eb="4">
      <t>ダンタイ</t>
    </rPh>
    <phoneticPr fontId="2"/>
  </si>
  <si>
    <t>男子個人</t>
    <rPh sb="0" eb="2">
      <t>ダンシ</t>
    </rPh>
    <rPh sb="2" eb="4">
      <t>コジン</t>
    </rPh>
    <phoneticPr fontId="2"/>
  </si>
  <si>
    <t>両方参加</t>
    <rPh sb="0" eb="2">
      <t>リョウホウ</t>
    </rPh>
    <rPh sb="2" eb="4">
      <t>サンカ</t>
    </rPh>
    <phoneticPr fontId="2"/>
  </si>
  <si>
    <t>女子団体</t>
    <rPh sb="0" eb="2">
      <t>ジョシ</t>
    </rPh>
    <rPh sb="2" eb="4">
      <t>ダンタイ</t>
    </rPh>
    <phoneticPr fontId="2"/>
  </si>
  <si>
    <t>女子個人</t>
    <rPh sb="0" eb="2">
      <t>ジョシ</t>
    </rPh>
    <rPh sb="2" eb="4">
      <t>コジン</t>
    </rPh>
    <phoneticPr fontId="2"/>
  </si>
  <si>
    <t>№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</si>
  <si>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</si>
  <si>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</si>
  <si>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</si>
  <si>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</si>
  <si>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プログラム冊数</t>
    <rPh sb="5" eb="7">
      <t>サッスウ</t>
    </rPh>
    <phoneticPr fontId="2"/>
  </si>
  <si>
    <t>出場者延べ数算出票</t>
    <rPh sb="0" eb="3">
      <t>シュツジョウシャ</t>
    </rPh>
    <rPh sb="3" eb="4">
      <t>ノ</t>
    </rPh>
    <rPh sb="5" eb="6">
      <t>スウ</t>
    </rPh>
    <rPh sb="6" eb="8">
      <t>サンシュツ</t>
    </rPh>
    <rPh sb="8" eb="9">
      <t>ヒョウ</t>
    </rPh>
    <phoneticPr fontId="2"/>
  </si>
  <si>
    <t>男子個人戦申込書</t>
    <rPh sb="0" eb="2">
      <t>ダンシ</t>
    </rPh>
    <rPh sb="2" eb="5">
      <t>コジンセン</t>
    </rPh>
    <rPh sb="5" eb="8">
      <t>モウシコミショ</t>
    </rPh>
    <phoneticPr fontId="2"/>
  </si>
  <si>
    <t>女子個人戦申込書</t>
    <rPh sb="0" eb="2">
      <t>ジョシ</t>
    </rPh>
    <rPh sb="2" eb="5">
      <t>コジンセン</t>
    </rPh>
    <rPh sb="5" eb="8">
      <t>モウシコミショ</t>
    </rPh>
    <phoneticPr fontId="2"/>
  </si>
  <si>
    <t>ふりがな</t>
    <phoneticPr fontId="2"/>
  </si>
  <si>
    <t>ふりがな</t>
    <phoneticPr fontId="2"/>
  </si>
  <si>
    <t>髙木式大会申込フォームの使い方！</t>
    <rPh sb="0" eb="2">
      <t>タカギ</t>
    </rPh>
    <rPh sb="2" eb="3">
      <t>シキ</t>
    </rPh>
    <rPh sb="3" eb="4">
      <t>タイ</t>
    </rPh>
    <rPh sb="4" eb="5">
      <t>カイ</t>
    </rPh>
    <rPh sb="5" eb="7">
      <t>モウシコミ</t>
    </rPh>
    <rPh sb="12" eb="13">
      <t>ツカ</t>
    </rPh>
    <rPh sb="14" eb="15">
      <t>カタ</t>
    </rPh>
    <phoneticPr fontId="2"/>
  </si>
  <si>
    <t>☆２２年度から、１年間に行われる県レベルの大会の申し込みを１つのブックで済ませられるようにしました！
　年度を変えれば平成４４年度まで回数が繰り上がるようになっています！(年号が変われば直しますが･･･)
　学校にこのブックを保存していただければ、学校長や顧問、外部コーチが変更になっても対応できます！
☆すべての基本は「メインシート」と「名簿マスター」です！
　必要事項を入力し、各大会の「入力ﾌｫｰﾑ」に数字を入れれば「印刷」に反映します！
　申込書を印刷し、学校長の職印を押印して要項の申し込み先にご郵送ください！
　データでの申し込みは要項に示したアドレスまでご送信ください！</t>
    <rPh sb="9" eb="11">
      <t>ネンカン</t>
    </rPh>
    <rPh sb="12" eb="13">
      <t>オコナ</t>
    </rPh>
    <rPh sb="16" eb="17">
      <t>ケン</t>
    </rPh>
    <rPh sb="21" eb="22">
      <t>タイ</t>
    </rPh>
    <rPh sb="22" eb="23">
      <t>カイ</t>
    </rPh>
    <rPh sb="24" eb="25">
      <t>モウ</t>
    </rPh>
    <rPh sb="26" eb="27">
      <t>コ</t>
    </rPh>
    <rPh sb="36" eb="37">
      <t>ス</t>
    </rPh>
    <rPh sb="52" eb="54">
      <t>ネンド</t>
    </rPh>
    <rPh sb="55" eb="56">
      <t>カ</t>
    </rPh>
    <rPh sb="59" eb="61">
      <t>ヘイセイ</t>
    </rPh>
    <rPh sb="63" eb="65">
      <t>ネンド</t>
    </rPh>
    <rPh sb="67" eb="69">
      <t>カイスウ</t>
    </rPh>
    <rPh sb="70" eb="71">
      <t>ク</t>
    </rPh>
    <rPh sb="72" eb="73">
      <t>ア</t>
    </rPh>
    <rPh sb="86" eb="88">
      <t>ネンゴウ</t>
    </rPh>
    <rPh sb="89" eb="90">
      <t>カ</t>
    </rPh>
    <rPh sb="93" eb="94">
      <t>ナオ</t>
    </rPh>
    <rPh sb="104" eb="106">
      <t>ガッコウ</t>
    </rPh>
    <rPh sb="113" eb="115">
      <t>ホゾン</t>
    </rPh>
    <rPh sb="124" eb="127">
      <t>ガッコウチョウ</t>
    </rPh>
    <rPh sb="128" eb="130">
      <t>コモン</t>
    </rPh>
    <rPh sb="131" eb="133">
      <t>ガイブ</t>
    </rPh>
    <rPh sb="137" eb="139">
      <t>ヘンコウ</t>
    </rPh>
    <rPh sb="144" eb="146">
      <t>タイオウ</t>
    </rPh>
    <rPh sb="158" eb="160">
      <t>キホン</t>
    </rPh>
    <rPh sb="171" eb="173">
      <t>メイボ</t>
    </rPh>
    <rPh sb="183" eb="185">
      <t>ヒツヨウ</t>
    </rPh>
    <rPh sb="185" eb="187">
      <t>ジコウ</t>
    </rPh>
    <rPh sb="188" eb="190">
      <t>ニュウリョク</t>
    </rPh>
    <rPh sb="192" eb="193">
      <t>カク</t>
    </rPh>
    <rPh sb="193" eb="194">
      <t>タイ</t>
    </rPh>
    <rPh sb="194" eb="195">
      <t>カイ</t>
    </rPh>
    <rPh sb="197" eb="199">
      <t>ニュウリョク</t>
    </rPh>
    <rPh sb="205" eb="207">
      <t>スウジ</t>
    </rPh>
    <rPh sb="208" eb="209">
      <t>イ</t>
    </rPh>
    <rPh sb="213" eb="215">
      <t>インサツ</t>
    </rPh>
    <rPh sb="217" eb="219">
      <t>ハンエイ</t>
    </rPh>
    <rPh sb="225" eb="227">
      <t>モウシコミ</t>
    </rPh>
    <rPh sb="227" eb="228">
      <t>ショ</t>
    </rPh>
    <rPh sb="229" eb="231">
      <t>インサツ</t>
    </rPh>
    <rPh sb="233" eb="236">
      <t>ガッコウチョウ</t>
    </rPh>
    <rPh sb="237" eb="239">
      <t>ショクイン</t>
    </rPh>
    <rPh sb="240" eb="242">
      <t>オウイン</t>
    </rPh>
    <rPh sb="244" eb="246">
      <t>ヨウコウ</t>
    </rPh>
    <rPh sb="247" eb="248">
      <t>モウ</t>
    </rPh>
    <rPh sb="249" eb="250">
      <t>コ</t>
    </rPh>
    <rPh sb="251" eb="252">
      <t>サキ</t>
    </rPh>
    <rPh sb="254" eb="256">
      <t>ユウソウ</t>
    </rPh>
    <rPh sb="268" eb="269">
      <t>モウ</t>
    </rPh>
    <rPh sb="270" eb="271">
      <t>コ</t>
    </rPh>
    <rPh sb="273" eb="275">
      <t>ヨウコウ</t>
    </rPh>
    <rPh sb="276" eb="277">
      <t>シメ</t>
    </rPh>
    <rPh sb="286" eb="288">
      <t>ソウシン</t>
    </rPh>
    <phoneticPr fontId="2"/>
  </si>
  <si>
    <t>１.「メインシート」に必要事項を入力する！</t>
    <rPh sb="11" eb="13">
      <t>ヒツヨウ</t>
    </rPh>
    <rPh sb="13" eb="15">
      <t>ジコウ</t>
    </rPh>
    <rPh sb="16" eb="18">
      <t>ニュウリョク</t>
    </rPh>
    <phoneticPr fontId="2"/>
  </si>
  <si>
    <t>２.「名簿マスター」に必要事項を入力する！</t>
    <rPh sb="3" eb="5">
      <t>メイボ</t>
    </rPh>
    <rPh sb="11" eb="13">
      <t>ヒツヨウ</t>
    </rPh>
    <rPh sb="13" eb="15">
      <t>ジコウ</t>
    </rPh>
    <rPh sb="16" eb="18">
      <t>ニュウリョク</t>
    </rPh>
    <phoneticPr fontId="2"/>
  </si>
  <si>
    <t>都道府県コード表</t>
    <rPh sb="0" eb="4">
      <t>トドウフケン</t>
    </rPh>
    <rPh sb="7" eb="8">
      <t>ヒョウ</t>
    </rPh>
    <phoneticPr fontId="2"/>
  </si>
  <si>
    <t>３.「入力フォーム」に必要事項を入力する！</t>
    <rPh sb="3" eb="5">
      <t>ニュウリョク</t>
    </rPh>
    <rPh sb="11" eb="13">
      <t>ヒツヨウ</t>
    </rPh>
    <rPh sb="13" eb="15">
      <t>ジコウ</t>
    </rPh>
    <rPh sb="16" eb="18">
      <t>ニュウリョク</t>
    </rPh>
    <phoneticPr fontId="2"/>
  </si>
  <si>
    <t>みずほ銀行　東武支店</t>
    <rPh sb="3" eb="5">
      <t>ギンコウ</t>
    </rPh>
    <rPh sb="6" eb="8">
      <t>トウブ</t>
    </rPh>
    <rPh sb="8" eb="10">
      <t>シテン</t>
    </rPh>
    <phoneticPr fontId="2"/>
  </si>
  <si>
    <t>当座預金　　９７５８００３</t>
    <rPh sb="0" eb="2">
      <t>トウザ</t>
    </rPh>
    <rPh sb="2" eb="4">
      <t>ヨキン</t>
    </rPh>
    <phoneticPr fontId="2"/>
  </si>
  <si>
    <t>東武トップツアーズ株式会社</t>
    <phoneticPr fontId="2"/>
  </si>
  <si>
    <t>№</t>
    <phoneticPr fontId="2"/>
  </si>
  <si>
    <t>４.申込フォームにエラーがあったら！</t>
    <rPh sb="2" eb="4">
      <t>モウシコミ</t>
    </rPh>
    <phoneticPr fontId="2"/>
  </si>
  <si>
    <t>※</t>
    <phoneticPr fontId="2"/>
  </si>
  <si>
    <t>「データリンク」に関するエラーの場合は･･･</t>
    <rPh sb="9" eb="10">
      <t>カン</t>
    </rPh>
    <rPh sb="16" eb="18">
      <t>バアイ</t>
    </rPh>
    <phoneticPr fontId="2"/>
  </si>
  <si>
    <t>上部タグ「校閲」→「シートの保護解除」→数式の訂正または直接入力する！</t>
    <rPh sb="0" eb="2">
      <t>ジョウブ</t>
    </rPh>
    <rPh sb="5" eb="7">
      <t>コウエツ</t>
    </rPh>
    <rPh sb="14" eb="16">
      <t>ホゴ</t>
    </rPh>
    <rPh sb="16" eb="18">
      <t>カイジョ</t>
    </rPh>
    <rPh sb="20" eb="22">
      <t>スウシキ</t>
    </rPh>
    <rPh sb="23" eb="25">
      <t>テイセイ</t>
    </rPh>
    <rPh sb="28" eb="30">
      <t>チョクセツ</t>
    </rPh>
    <rPh sb="30" eb="32">
      <t>ニュウリョク</t>
    </rPh>
    <phoneticPr fontId="2"/>
  </si>
  <si>
    <t>携帯(090-3647-1770)　e-mail(sasuke@d3.dion.ne.jp)</t>
    <rPh sb="0" eb="2">
      <t>ケイタイ</t>
    </rPh>
    <phoneticPr fontId="2"/>
  </si>
  <si>
    <t>庶務(内郷一中 髙木)までご連絡ください！</t>
    <rPh sb="0" eb="2">
      <t>ショム</t>
    </rPh>
    <rPh sb="3" eb="5">
      <t>ウチゴウ</t>
    </rPh>
    <rPh sb="5" eb="6">
      <t>イチ</t>
    </rPh>
    <rPh sb="6" eb="7">
      <t>チュウ</t>
    </rPh>
    <rPh sb="8" eb="10">
      <t>タカギ</t>
    </rPh>
    <rPh sb="14" eb="16">
      <t>レンラク</t>
    </rPh>
    <phoneticPr fontId="2"/>
  </si>
  <si>
    <t>どうしてもエラーが解消されない･･･なんだかわからない場合は･･･</t>
    <rPh sb="9" eb="11">
      <t>カイショウ</t>
    </rPh>
    <rPh sb="27" eb="29">
      <t>バアイ</t>
    </rPh>
    <phoneticPr fontId="2"/>
  </si>
  <si>
    <t>いずれか一方に○を入れてください。</t>
    <rPh sb="4" eb="6">
      <t>イッポウ</t>
    </rPh>
    <rPh sb="9" eb="10">
      <t>イ</t>
    </rPh>
    <phoneticPr fontId="2"/>
  </si>
  <si>
    <t>№</t>
    <phoneticPr fontId="2"/>
  </si>
  <si>
    <t>ｺｰﾄﾞ</t>
    <phoneticPr fontId="2"/>
  </si>
  <si>
    <t>番号</t>
    <rPh sb="0" eb="2">
      <t>バンゴウ</t>
    </rPh>
    <phoneticPr fontId="2"/>
  </si>
  <si>
    <t>自校データ</t>
    <rPh sb="0" eb="2">
      <t>ジコウ</t>
    </rPh>
    <phoneticPr fontId="2"/>
  </si>
  <si>
    <t>入力例</t>
    <rPh sb="0" eb="2">
      <t>ニュウリョク</t>
    </rPh>
    <rPh sb="2" eb="3">
      <t>レイ</t>
    </rPh>
    <phoneticPr fontId="2"/>
  </si>
  <si>
    <r>
      <rPr>
        <b/>
        <sz val="14"/>
        <color indexed="8"/>
        <rFont val="ＭＳ ゴシック"/>
        <family val="3"/>
        <charset val="128"/>
      </rPr>
      <t xml:space="preserve">↑
</t>
    </r>
    <r>
      <rPr>
        <b/>
        <sz val="11"/>
        <color indexed="8"/>
        <rFont val="ＭＳ ゴシック"/>
        <family val="3"/>
        <charset val="128"/>
      </rPr>
      <t>内郷第一中学校</t>
    </r>
    <phoneticPr fontId="2"/>
  </si>
  <si>
    <r>
      <rPr>
        <b/>
        <sz val="14"/>
        <color indexed="8"/>
        <rFont val="ＭＳ ゴシック"/>
        <family val="3"/>
        <charset val="128"/>
      </rPr>
      <t xml:space="preserve">↑
</t>
    </r>
    <r>
      <rPr>
        <b/>
        <sz val="11"/>
        <color indexed="8"/>
        <rFont val="ＭＳ ゴシック"/>
        <family val="3"/>
        <charset val="128"/>
      </rPr>
      <t>内郷一中</t>
    </r>
    <phoneticPr fontId="2"/>
  </si>
  <si>
    <r>
      <rPr>
        <b/>
        <sz val="14"/>
        <color indexed="8"/>
        <rFont val="ＭＳ ゴシック"/>
        <family val="3"/>
        <charset val="128"/>
      </rPr>
      <t xml:space="preserve">↑
</t>
    </r>
    <r>
      <rPr>
        <b/>
        <sz val="11"/>
        <color indexed="8"/>
        <rFont val="ＭＳ ゴシック"/>
        <family val="3"/>
        <charset val="128"/>
      </rPr>
      <t>内郷一</t>
    </r>
    <phoneticPr fontId="2"/>
  </si>
  <si>
    <t>県名</t>
    <rPh sb="0" eb="2">
      <t>ケンメイ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</si>
</sst>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;0;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color indexed="12"/>
      <name val="ＭＳ ゴシック"/>
      <family val="3"/>
      <charset val="128"/>
    </font>
    <font>
      <b/>
      <sz val="14"/>
      <color rgb="FF0000FF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b/>
      <sz val="10"/>
      <color rgb="FF0000FF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24"/>
      <color indexed="13"/>
      <name val="HG創英丸ﾎﾟｯﾌﾟ体"/>
      <family val="3"/>
      <charset val="128"/>
    </font>
    <font>
      <b/>
      <sz val="11"/>
      <color indexed="12"/>
      <name val="ＭＳ ゴシック"/>
      <family val="3"/>
      <charset val="128"/>
    </font>
    <font>
      <b/>
      <sz val="18"/>
      <color indexed="13"/>
      <name val="ＭＳ ゴシック"/>
      <family val="3"/>
      <charset val="128"/>
    </font>
    <font>
      <b/>
      <sz val="24"/>
      <color indexed="12"/>
      <name val="ＭＳ ゴシック"/>
      <family val="3"/>
      <charset val="128"/>
    </font>
    <font>
      <b/>
      <sz val="14"/>
      <color indexed="13"/>
      <name val="HG丸ｺﾞｼｯｸM-PRO"/>
      <family val="3"/>
      <charset val="128"/>
    </font>
    <font>
      <sz val="18"/>
      <color rgb="FFFFFF00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36"/>
      <color indexed="9"/>
      <name val="ＭＳ ゴシック"/>
      <family val="3"/>
      <charset val="128"/>
    </font>
    <font>
      <b/>
      <sz val="48"/>
      <color indexed="9"/>
      <name val="HG創英丸ﾎﾟｯﾌﾟ体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24"/>
      <name val="HG創英丸ﾎﾟｯﾌﾟ体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color rgb="FF0000FF"/>
      <name val="HG創英丸ﾎﾟｯﾌﾟ体"/>
      <family val="3"/>
      <charset val="128"/>
    </font>
    <font>
      <sz val="11"/>
      <color rgb="FF0000FF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indexed="9"/>
      </left>
      <right style="dotted">
        <color indexed="9"/>
      </right>
      <top style="thick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 style="thick">
        <color indexed="9"/>
      </top>
      <bottom style="dotted">
        <color indexed="9"/>
      </bottom>
      <diagonal/>
    </border>
    <border>
      <left style="dotted">
        <color indexed="9"/>
      </left>
      <right style="thick">
        <color indexed="9"/>
      </right>
      <top style="thick">
        <color indexed="9"/>
      </top>
      <bottom style="dotted">
        <color indexed="9"/>
      </bottom>
      <diagonal/>
    </border>
    <border>
      <left/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thick">
        <color indexed="9"/>
      </right>
      <top style="dotted">
        <color indexed="9"/>
      </top>
      <bottom style="dotted">
        <color indexed="9"/>
      </bottom>
      <diagonal/>
    </border>
    <border>
      <left style="dotted">
        <color auto="1"/>
      </left>
      <right/>
      <top style="dotted">
        <color auto="1"/>
      </top>
      <bottom style="dotted">
        <color indexed="64"/>
      </bottom>
      <diagonal/>
    </border>
    <border>
      <left style="thick">
        <color indexed="9"/>
      </left>
      <right style="dotted">
        <color indexed="9"/>
      </right>
      <top style="dotted">
        <color indexed="9"/>
      </top>
      <bottom style="thick">
        <color indexed="9"/>
      </bottom>
      <diagonal/>
    </border>
    <border>
      <left style="dotted">
        <color indexed="9"/>
      </left>
      <right style="dotted">
        <color indexed="9"/>
      </right>
      <top style="dotted">
        <color indexed="9"/>
      </top>
      <bottom style="thick">
        <color indexed="9"/>
      </bottom>
      <diagonal/>
    </border>
    <border>
      <left style="dotted">
        <color indexed="9"/>
      </left>
      <right style="thick">
        <color indexed="9"/>
      </right>
      <top style="dotted">
        <color indexed="9"/>
      </top>
      <bottom style="thick">
        <color indexed="9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/>
  </cellStyleXfs>
  <cellXfs count="588">
    <xf numFmtId="0" fontId="0" fillId="0" borderId="0" xfId="0"/>
    <xf numFmtId="0" fontId="6" fillId="0" borderId="0" xfId="1" applyFont="1"/>
    <xf numFmtId="0" fontId="7" fillId="0" borderId="0" xfId="1" applyFont="1"/>
    <xf numFmtId="0" fontId="6" fillId="0" borderId="0" xfId="2" applyFont="1" applyAlignment="1" applyProtection="1">
      <alignment vertical="center"/>
    </xf>
    <xf numFmtId="0" fontId="6" fillId="3" borderId="0" xfId="2" applyFont="1" applyFill="1" applyAlignment="1" applyProtection="1">
      <alignment vertical="center"/>
    </xf>
    <xf numFmtId="0" fontId="6" fillId="3" borderId="10" xfId="2" applyFont="1" applyFill="1" applyBorder="1" applyAlignment="1" applyProtection="1">
      <alignment horizontal="center" vertical="center" shrinkToFit="1"/>
    </xf>
    <xf numFmtId="0" fontId="6" fillId="3" borderId="0" xfId="2" applyFont="1" applyFill="1" applyBorder="1" applyAlignment="1" applyProtection="1">
      <alignment horizontal="center" vertical="center" shrinkToFit="1"/>
    </xf>
    <xf numFmtId="0" fontId="7" fillId="3" borderId="0" xfId="2" applyFont="1" applyFill="1" applyAlignment="1" applyProtection="1">
      <alignment vertical="center"/>
    </xf>
    <xf numFmtId="0" fontId="6" fillId="4" borderId="10" xfId="2" applyFont="1" applyFill="1" applyBorder="1" applyAlignment="1" applyProtection="1">
      <alignment horizontal="center" vertical="center" shrinkToFit="1"/>
    </xf>
    <xf numFmtId="0" fontId="6" fillId="4" borderId="0" xfId="2" applyFont="1" applyFill="1" applyBorder="1" applyAlignment="1" applyProtection="1">
      <alignment horizontal="center" vertical="center" shrinkToFit="1"/>
    </xf>
    <xf numFmtId="0" fontId="6" fillId="4" borderId="9" xfId="2" applyFont="1" applyFill="1" applyBorder="1" applyAlignment="1" applyProtection="1">
      <alignment horizontal="center" vertical="center" shrinkToFit="1"/>
    </xf>
    <xf numFmtId="14" fontId="6" fillId="4" borderId="10" xfId="2" applyNumberFormat="1" applyFont="1" applyFill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center" vertical="center" shrinkToFit="1"/>
      <protection locked="0"/>
    </xf>
    <xf numFmtId="0" fontId="6" fillId="0" borderId="0" xfId="2" applyFont="1" applyBorder="1" applyAlignment="1" applyProtection="1">
      <alignment horizontal="center" vertical="center" shrinkToFit="1"/>
    </xf>
    <xf numFmtId="0" fontId="6" fillId="10" borderId="10" xfId="2" applyFont="1" applyFill="1" applyBorder="1" applyAlignment="1" applyProtection="1">
      <alignment horizontal="center" vertical="center" shrinkToFit="1"/>
    </xf>
    <xf numFmtId="14" fontId="6" fillId="0" borderId="10" xfId="2" applyNumberFormat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6" fillId="10" borderId="10" xfId="1" applyFont="1" applyFill="1" applyBorder="1" applyAlignment="1" applyProtection="1">
      <alignment horizontal="center" vertical="center" shrinkToFit="1"/>
    </xf>
    <xf numFmtId="0" fontId="6" fillId="10" borderId="0" xfId="2" applyFont="1" applyFill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10" borderId="10" xfId="0" applyFont="1" applyFill="1" applyBorder="1" applyAlignment="1" applyProtection="1">
      <alignment horizontal="center" vertical="center" shrinkToFit="1"/>
    </xf>
    <xf numFmtId="0" fontId="8" fillId="3" borderId="10" xfId="2" applyFont="1" applyFill="1" applyBorder="1" applyAlignment="1" applyProtection="1">
      <alignment horizontal="center" vertical="center" shrinkToFit="1"/>
    </xf>
    <xf numFmtId="0" fontId="8" fillId="3" borderId="0" xfId="2" applyFont="1" applyFill="1" applyBorder="1" applyAlignment="1" applyProtection="1">
      <alignment horizontal="center" vertical="center" shrinkToFit="1"/>
    </xf>
    <xf numFmtId="0" fontId="6" fillId="0" borderId="0" xfId="3" applyFont="1" applyProtection="1">
      <alignment vertical="center"/>
    </xf>
    <xf numFmtId="0" fontId="6" fillId="5" borderId="0" xfId="6" applyNumberFormat="1" applyFont="1" applyFill="1" applyProtection="1">
      <alignment vertical="center"/>
    </xf>
    <xf numFmtId="0" fontId="6" fillId="0" borderId="0" xfId="6" applyNumberFormat="1" applyFont="1" applyProtection="1">
      <alignment vertical="center"/>
    </xf>
    <xf numFmtId="0" fontId="20" fillId="3" borderId="0" xfId="6" applyNumberFormat="1" applyFont="1" applyFill="1" applyAlignment="1" applyProtection="1">
      <alignment horizontal="center" vertical="center"/>
      <protection locked="0"/>
    </xf>
    <xf numFmtId="0" fontId="19" fillId="4" borderId="0" xfId="6" applyNumberFormat="1" applyFont="1" applyFill="1" applyAlignment="1" applyProtection="1">
      <alignment horizontal="left" vertical="center"/>
    </xf>
    <xf numFmtId="0" fontId="21" fillId="5" borderId="0" xfId="6" applyNumberFormat="1" applyFont="1" applyFill="1" applyProtection="1">
      <alignment vertical="center"/>
    </xf>
    <xf numFmtId="0" fontId="19" fillId="4" borderId="0" xfId="6" applyNumberFormat="1" applyFont="1" applyFill="1" applyAlignment="1" applyProtection="1">
      <alignment horizontal="right" vertical="center"/>
    </xf>
    <xf numFmtId="0" fontId="25" fillId="5" borderId="0" xfId="6" applyNumberFormat="1" applyFont="1" applyFill="1" applyProtection="1">
      <alignment vertical="center"/>
    </xf>
    <xf numFmtId="0" fontId="8" fillId="10" borderId="10" xfId="6" applyNumberFormat="1" applyFont="1" applyFill="1" applyBorder="1" applyAlignment="1" applyProtection="1">
      <alignment horizontal="center" vertical="center"/>
    </xf>
    <xf numFmtId="0" fontId="22" fillId="12" borderId="82" xfId="6" applyNumberFormat="1" applyFont="1" applyFill="1" applyBorder="1" applyAlignment="1" applyProtection="1">
      <alignment horizontal="center" vertical="center"/>
      <protection locked="0"/>
    </xf>
    <xf numFmtId="0" fontId="23" fillId="5" borderId="2" xfId="6" applyNumberFormat="1" applyFont="1" applyFill="1" applyBorder="1" applyAlignment="1" applyProtection="1">
      <alignment vertical="center"/>
    </xf>
    <xf numFmtId="0" fontId="6" fillId="0" borderId="0" xfId="6" applyNumberFormat="1" applyFont="1" applyBorder="1" applyProtection="1">
      <alignment vertical="center"/>
    </xf>
    <xf numFmtId="0" fontId="23" fillId="5" borderId="85" xfId="6" applyNumberFormat="1" applyFont="1" applyFill="1" applyBorder="1" applyAlignment="1" applyProtection="1">
      <alignment vertical="center"/>
    </xf>
    <xf numFmtId="0" fontId="12" fillId="5" borderId="86" xfId="6" applyNumberFormat="1" applyFont="1" applyFill="1" applyBorder="1" applyProtection="1">
      <alignment vertical="center"/>
    </xf>
    <xf numFmtId="0" fontId="12" fillId="5" borderId="87" xfId="6" applyNumberFormat="1" applyFont="1" applyFill="1" applyBorder="1" applyAlignment="1" applyProtection="1">
      <alignment horizontal="right" vertical="center"/>
    </xf>
    <xf numFmtId="0" fontId="12" fillId="5" borderId="88" xfId="6" applyNumberFormat="1" applyFont="1" applyFill="1" applyBorder="1" applyProtection="1">
      <alignment vertical="center"/>
    </xf>
    <xf numFmtId="0" fontId="12" fillId="5" borderId="91" xfId="6" applyNumberFormat="1" applyFont="1" applyFill="1" applyBorder="1" applyProtection="1">
      <alignment vertical="center"/>
    </xf>
    <xf numFmtId="0" fontId="12" fillId="5" borderId="92" xfId="6" applyNumberFormat="1" applyFont="1" applyFill="1" applyBorder="1" applyAlignment="1" applyProtection="1">
      <alignment horizontal="right" vertical="center"/>
    </xf>
    <xf numFmtId="0" fontId="12" fillId="5" borderId="93" xfId="6" applyNumberFormat="1" applyFont="1" applyFill="1" applyBorder="1" applyProtection="1">
      <alignment vertical="center"/>
    </xf>
    <xf numFmtId="0" fontId="27" fillId="5" borderId="0" xfId="6" applyNumberFormat="1" applyFont="1" applyFill="1" applyProtection="1">
      <alignment vertical="center"/>
    </xf>
    <xf numFmtId="0" fontId="12" fillId="5" borderId="95" xfId="6" applyNumberFormat="1" applyFont="1" applyFill="1" applyBorder="1" applyProtection="1">
      <alignment vertical="center"/>
    </xf>
    <xf numFmtId="0" fontId="12" fillId="5" borderId="96" xfId="6" applyNumberFormat="1" applyFont="1" applyFill="1" applyBorder="1" applyAlignment="1" applyProtection="1">
      <alignment horizontal="right" vertical="center"/>
    </xf>
    <xf numFmtId="0" fontId="12" fillId="5" borderId="97" xfId="6" applyNumberFormat="1" applyFont="1" applyFill="1" applyBorder="1" applyProtection="1">
      <alignment vertical="center"/>
    </xf>
    <xf numFmtId="0" fontId="6" fillId="0" borderId="0" xfId="2" applyFont="1" applyFill="1" applyAlignment="1" applyProtection="1">
      <alignment vertical="center"/>
    </xf>
    <xf numFmtId="0" fontId="10" fillId="3" borderId="0" xfId="2" applyFont="1" applyFill="1" applyAlignment="1" applyProtection="1">
      <alignment vertical="center"/>
    </xf>
    <xf numFmtId="0" fontId="6" fillId="3" borderId="10" xfId="2" applyFont="1" applyFill="1" applyBorder="1" applyAlignment="1" applyProtection="1">
      <alignment horizontal="left" vertical="center" shrinkToFit="1"/>
    </xf>
    <xf numFmtId="176" fontId="6" fillId="3" borderId="20" xfId="2" applyNumberFormat="1" applyFont="1" applyFill="1" applyBorder="1" applyAlignment="1" applyProtection="1">
      <alignment horizontal="center" vertical="center" shrinkToFit="1"/>
    </xf>
    <xf numFmtId="176" fontId="6" fillId="3" borderId="9" xfId="2" applyNumberFormat="1" applyFont="1" applyFill="1" applyBorder="1" applyAlignment="1" applyProtection="1">
      <alignment horizontal="center" vertical="center" shrinkToFit="1"/>
    </xf>
    <xf numFmtId="0" fontId="6" fillId="3" borderId="9" xfId="2" applyFont="1" applyFill="1" applyBorder="1" applyAlignment="1" applyProtection="1">
      <alignment horizontal="center" vertical="center" shrinkToFit="1"/>
    </xf>
    <xf numFmtId="14" fontId="6" fillId="0" borderId="0" xfId="2" applyNumberFormat="1" applyFont="1" applyFill="1" applyAlignment="1" applyProtection="1">
      <alignment vertical="center"/>
    </xf>
    <xf numFmtId="176" fontId="6" fillId="9" borderId="10" xfId="6" applyNumberFormat="1" applyFont="1" applyFill="1" applyBorder="1" applyAlignment="1" applyProtection="1">
      <alignment horizontal="center" vertical="center"/>
    </xf>
    <xf numFmtId="176" fontId="6" fillId="9" borderId="10" xfId="6" applyNumberFormat="1" applyFont="1" applyFill="1" applyBorder="1" applyAlignment="1" applyProtection="1">
      <alignment horizontal="center" vertical="center" shrinkToFit="1"/>
    </xf>
    <xf numFmtId="176" fontId="8" fillId="13" borderId="78" xfId="5" applyNumberFormat="1" applyFont="1" applyFill="1" applyBorder="1" applyAlignment="1">
      <alignment horizontal="center" vertical="center" shrinkToFit="1"/>
    </xf>
    <xf numFmtId="176" fontId="30" fillId="13" borderId="78" xfId="5" applyNumberFormat="1" applyFont="1" applyFill="1" applyBorder="1" applyAlignment="1">
      <alignment horizontal="left" vertical="center" shrinkToFit="1"/>
    </xf>
    <xf numFmtId="176" fontId="30" fillId="13" borderId="82" xfId="5" applyNumberFormat="1" applyFont="1" applyFill="1" applyBorder="1" applyAlignment="1">
      <alignment horizontal="center" vertical="center" shrinkToFit="1"/>
    </xf>
    <xf numFmtId="49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8" fillId="11" borderId="100" xfId="6" applyNumberFormat="1" applyFont="1" applyFill="1" applyBorder="1" applyAlignment="1" applyProtection="1">
      <alignment horizontal="center" vertical="center"/>
    </xf>
    <xf numFmtId="0" fontId="6" fillId="0" borderId="10" xfId="6" applyNumberFormat="1" applyFont="1" applyBorder="1" applyAlignment="1" applyProtection="1">
      <alignment horizontal="center" vertical="center"/>
    </xf>
    <xf numFmtId="0" fontId="22" fillId="12" borderId="10" xfId="6" applyNumberFormat="1" applyFont="1" applyFill="1" applyBorder="1" applyAlignment="1" applyProtection="1">
      <alignment horizontal="center" vertical="center" shrinkToFit="1"/>
      <protection locked="0"/>
    </xf>
    <xf numFmtId="0" fontId="22" fillId="9" borderId="23" xfId="6" applyNumberFormat="1" applyFont="1" applyFill="1" applyBorder="1" applyAlignment="1" applyProtection="1">
      <alignment horizontal="center" vertical="center" shrinkToFit="1"/>
      <protection locked="0"/>
    </xf>
    <xf numFmtId="0" fontId="22" fillId="12" borderId="20" xfId="6" applyNumberFormat="1" applyFont="1" applyFill="1" applyBorder="1" applyAlignment="1" applyProtection="1">
      <alignment horizontal="center" vertical="center" shrinkToFit="1"/>
      <protection locked="0"/>
    </xf>
    <xf numFmtId="0" fontId="20" fillId="15" borderId="0" xfId="6" applyNumberFormat="1" applyFont="1" applyFill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vertical="center" shrinkToFit="1"/>
    </xf>
    <xf numFmtId="0" fontId="22" fillId="15" borderId="10" xfId="6" applyNumberFormat="1" applyFont="1" applyFill="1" applyBorder="1" applyAlignment="1" applyProtection="1">
      <alignment horizontal="center" vertical="center" shrinkToFit="1"/>
    </xf>
    <xf numFmtId="0" fontId="8" fillId="10" borderId="2" xfId="4" applyNumberFormat="1" applyFont="1" applyFill="1" applyBorder="1" applyAlignment="1" applyProtection="1">
      <alignment horizontal="center" vertical="center"/>
      <protection locked="0"/>
    </xf>
    <xf numFmtId="0" fontId="16" fillId="9" borderId="17" xfId="4" applyNumberFormat="1" applyFont="1" applyFill="1" applyBorder="1" applyAlignment="1" applyProtection="1">
      <alignment horizontal="center" vertical="center"/>
      <protection locked="0"/>
    </xf>
    <xf numFmtId="0" fontId="16" fillId="9" borderId="4" xfId="4" applyNumberFormat="1" applyFont="1" applyFill="1" applyBorder="1" applyAlignment="1" applyProtection="1">
      <alignment horizontal="center" vertical="center"/>
      <protection locked="0"/>
    </xf>
    <xf numFmtId="0" fontId="16" fillId="10" borderId="2" xfId="4" applyNumberFormat="1" applyFont="1" applyFill="1" applyBorder="1" applyAlignment="1" applyProtection="1">
      <alignment horizontal="center" vertical="center"/>
      <protection locked="0"/>
    </xf>
    <xf numFmtId="0" fontId="8" fillId="10" borderId="2" xfId="4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Protection="1"/>
    <xf numFmtId="0" fontId="6" fillId="0" borderId="0" xfId="0" quotePrefix="1" applyFont="1" applyProtection="1"/>
    <xf numFmtId="0" fontId="6" fillId="0" borderId="10" xfId="0" applyFont="1" applyBorder="1" applyAlignment="1" applyProtection="1">
      <alignment horizontal="center" shrinkToFit="1"/>
    </xf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/>
    </xf>
    <xf numFmtId="3" fontId="14" fillId="10" borderId="10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69" xfId="0" applyFont="1" applyBorder="1" applyAlignment="1" applyProtection="1">
      <alignment vertical="center"/>
    </xf>
    <xf numFmtId="0" fontId="32" fillId="0" borderId="44" xfId="0" applyFont="1" applyBorder="1" applyAlignment="1" applyProtection="1">
      <alignment vertical="center" wrapText="1"/>
    </xf>
    <xf numFmtId="0" fontId="32" fillId="0" borderId="44" xfId="0" applyFont="1" applyBorder="1" applyAlignment="1" applyProtection="1">
      <alignment vertical="center"/>
    </xf>
    <xf numFmtId="0" fontId="32" fillId="0" borderId="45" xfId="0" applyFont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10" borderId="20" xfId="0" applyFont="1" applyFill="1" applyBorder="1" applyAlignment="1" applyProtection="1">
      <alignment vertical="center"/>
    </xf>
    <xf numFmtId="0" fontId="6" fillId="10" borderId="98" xfId="0" applyFont="1" applyFill="1" applyBorder="1" applyAlignment="1" applyProtection="1">
      <alignment vertical="center"/>
    </xf>
    <xf numFmtId="0" fontId="6" fillId="10" borderId="98" xfId="0" applyFont="1" applyFill="1" applyBorder="1" applyProtection="1"/>
    <xf numFmtId="0" fontId="6" fillId="10" borderId="89" xfId="0" applyFont="1" applyFill="1" applyBorder="1" applyProtection="1"/>
    <xf numFmtId="0" fontId="32" fillId="0" borderId="0" xfId="0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/>
    </xf>
    <xf numFmtId="0" fontId="32" fillId="0" borderId="59" xfId="0" applyFont="1" applyBorder="1" applyAlignment="1" applyProtection="1">
      <alignment vertical="center" wrapText="1"/>
    </xf>
    <xf numFmtId="0" fontId="32" fillId="0" borderId="47" xfId="0" applyFont="1" applyBorder="1" applyAlignment="1" applyProtection="1">
      <alignment vertical="center" wrapText="1"/>
    </xf>
    <xf numFmtId="0" fontId="32" fillId="0" borderId="47" xfId="0" applyFont="1" applyBorder="1" applyAlignment="1" applyProtection="1">
      <alignment vertical="center"/>
    </xf>
    <xf numFmtId="0" fontId="32" fillId="0" borderId="48" xfId="0" applyFont="1" applyBorder="1" applyAlignment="1" applyProtection="1">
      <alignment vertical="center" wrapText="1"/>
    </xf>
    <xf numFmtId="0" fontId="32" fillId="0" borderId="0" xfId="0" applyFont="1" applyAlignment="1" applyProtection="1">
      <alignment vertical="center" wrapText="1"/>
    </xf>
    <xf numFmtId="0" fontId="8" fillId="11" borderId="10" xfId="6" applyNumberFormat="1" applyFont="1" applyFill="1" applyBorder="1" applyAlignment="1" applyProtection="1">
      <alignment horizontal="center" vertical="center"/>
    </xf>
    <xf numFmtId="0" fontId="6" fillId="5" borderId="0" xfId="6" applyFont="1" applyFill="1">
      <alignment vertical="center"/>
    </xf>
    <xf numFmtId="0" fontId="6" fillId="0" borderId="0" xfId="6" applyFont="1">
      <alignment vertical="center"/>
    </xf>
    <xf numFmtId="0" fontId="35" fillId="5" borderId="0" xfId="6" applyFont="1" applyFill="1">
      <alignment vertical="center"/>
    </xf>
    <xf numFmtId="0" fontId="38" fillId="3" borderId="0" xfId="6" applyFont="1" applyFill="1">
      <alignment vertical="center"/>
    </xf>
    <xf numFmtId="0" fontId="6" fillId="3" borderId="0" xfId="6" applyFont="1" applyFill="1">
      <alignment vertical="center"/>
    </xf>
    <xf numFmtId="0" fontId="0" fillId="0" borderId="0" xfId="0" applyNumberFormat="1" applyProtection="1"/>
    <xf numFmtId="0" fontId="6" fillId="0" borderId="0" xfId="4" applyNumberFormat="1" applyFont="1" applyAlignment="1" applyProtection="1">
      <alignment vertical="center"/>
    </xf>
    <xf numFmtId="0" fontId="13" fillId="0" borderId="0" xfId="4" applyNumberFormat="1" applyFont="1" applyAlignment="1" applyProtection="1">
      <alignment vertical="center" justifyLastLine="1"/>
    </xf>
    <xf numFmtId="0" fontId="9" fillId="0" borderId="0" xfId="4" applyNumberFormat="1" applyFont="1" applyAlignment="1" applyProtection="1">
      <alignment vertical="center" justifyLastLine="1"/>
    </xf>
    <xf numFmtId="0" fontId="8" fillId="0" borderId="0" xfId="4" applyNumberFormat="1" applyFont="1" applyAlignment="1" applyProtection="1">
      <alignment vertical="center"/>
    </xf>
    <xf numFmtId="0" fontId="13" fillId="0" borderId="2" xfId="4" applyNumberFormat="1" applyFont="1" applyBorder="1" applyAlignment="1" applyProtection="1">
      <alignment horizontal="center" vertical="center"/>
    </xf>
    <xf numFmtId="0" fontId="11" fillId="0" borderId="10" xfId="4" applyNumberFormat="1" applyFont="1" applyBorder="1" applyAlignment="1" applyProtection="1">
      <alignment horizontal="center" vertical="center" justifyLastLine="1"/>
    </xf>
    <xf numFmtId="0" fontId="6" fillId="0" borderId="0" xfId="4" applyNumberFormat="1" applyFont="1" applyAlignment="1" applyProtection="1">
      <alignment horizontal="left" vertical="center" justifyLastLine="1"/>
    </xf>
    <xf numFmtId="0" fontId="31" fillId="0" borderId="10" xfId="4" applyNumberFormat="1" applyFont="1" applyBorder="1" applyAlignment="1" applyProtection="1">
      <alignment horizontal="center" vertical="center" justifyLastLine="1"/>
    </xf>
    <xf numFmtId="0" fontId="31" fillId="0" borderId="0" xfId="4" applyNumberFormat="1" applyFont="1" applyAlignment="1" applyProtection="1">
      <alignment horizontal="center" vertical="center" justifyLastLine="1"/>
    </xf>
    <xf numFmtId="0" fontId="13" fillId="0" borderId="2" xfId="4" applyNumberFormat="1" applyFont="1" applyBorder="1" applyAlignment="1" applyProtection="1">
      <alignment horizontal="center" vertical="center" justifyLastLine="1"/>
    </xf>
    <xf numFmtId="0" fontId="6" fillId="0" borderId="2" xfId="4" applyNumberFormat="1" applyFont="1" applyBorder="1" applyAlignment="1" applyProtection="1">
      <alignment horizontal="center" vertical="center" shrinkToFit="1"/>
    </xf>
    <xf numFmtId="0" fontId="13" fillId="0" borderId="2" xfId="4" applyNumberFormat="1" applyFont="1" applyBorder="1" applyAlignment="1" applyProtection="1">
      <alignment horizontal="center" vertical="center" shrinkToFit="1"/>
    </xf>
    <xf numFmtId="0" fontId="8" fillId="14" borderId="4" xfId="4" applyNumberFormat="1" applyFont="1" applyFill="1" applyBorder="1" applyAlignment="1" applyProtection="1">
      <alignment horizontal="center" vertical="center" shrinkToFit="1"/>
    </xf>
    <xf numFmtId="0" fontId="8" fillId="14" borderId="2" xfId="4" applyNumberFormat="1" applyFont="1" applyFill="1" applyBorder="1" applyAlignment="1" applyProtection="1">
      <alignment horizontal="center" vertical="center" justifyLastLine="1"/>
    </xf>
    <xf numFmtId="0" fontId="11" fillId="10" borderId="10" xfId="4" applyNumberFormat="1" applyFont="1" applyFill="1" applyBorder="1" applyAlignment="1" applyProtection="1">
      <alignment horizontal="center" vertical="center" justifyLastLine="1"/>
    </xf>
    <xf numFmtId="0" fontId="8" fillId="14" borderId="2" xfId="4" applyNumberFormat="1" applyFont="1" applyFill="1" applyBorder="1" applyAlignment="1" applyProtection="1">
      <alignment horizontal="center" vertical="center" shrinkToFit="1"/>
    </xf>
    <xf numFmtId="0" fontId="8" fillId="14" borderId="2" xfId="4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Protection="1"/>
    <xf numFmtId="0" fontId="8" fillId="0" borderId="22" xfId="4" applyNumberFormat="1" applyFont="1" applyBorder="1" applyAlignment="1" applyProtection="1">
      <alignment horizontal="center" vertical="center"/>
    </xf>
    <xf numFmtId="0" fontId="6" fillId="0" borderId="12" xfId="4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/>
    </xf>
    <xf numFmtId="0" fontId="6" fillId="0" borderId="2" xfId="4" applyNumberFormat="1" applyFont="1" applyBorder="1" applyAlignment="1" applyProtection="1">
      <alignment horizontal="center" vertical="center"/>
    </xf>
    <xf numFmtId="0" fontId="6" fillId="0" borderId="0" xfId="4" applyNumberFormat="1" applyFont="1" applyAlignment="1" applyProtection="1">
      <alignment vertical="center" shrinkToFit="1"/>
    </xf>
    <xf numFmtId="0" fontId="9" fillId="0" borderId="0" xfId="4" applyNumberFormat="1" applyFont="1" applyAlignment="1" applyProtection="1">
      <alignment vertical="center" shrinkToFit="1"/>
    </xf>
    <xf numFmtId="0" fontId="6" fillId="0" borderId="12" xfId="4" applyNumberFormat="1" applyFont="1" applyFill="1" applyBorder="1" applyAlignment="1" applyProtection="1">
      <alignment horizontal="center" vertical="center"/>
    </xf>
    <xf numFmtId="0" fontId="16" fillId="0" borderId="4" xfId="4" applyNumberFormat="1" applyFont="1" applyFill="1" applyBorder="1" applyAlignment="1" applyProtection="1">
      <alignment horizontal="center" vertical="center"/>
    </xf>
    <xf numFmtId="0" fontId="4" fillId="10" borderId="2" xfId="0" applyNumberFormat="1" applyFont="1" applyFill="1" applyBorder="1" applyAlignment="1" applyProtection="1">
      <alignment horizontal="center" vertical="center" shrinkToFit="1"/>
      <protection locked="0"/>
    </xf>
    <xf numFmtId="0" fontId="18" fillId="10" borderId="2" xfId="4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Alignment="1" applyProtection="1">
      <alignment horizontal="center" vertical="center"/>
    </xf>
    <xf numFmtId="0" fontId="41" fillId="0" borderId="0" xfId="0" applyNumberFormat="1" applyFont="1" applyProtection="1"/>
    <xf numFmtId="0" fontId="43" fillId="9" borderId="23" xfId="0" applyNumberFormat="1" applyFont="1" applyFill="1" applyBorder="1" applyAlignment="1" applyProtection="1">
      <alignment horizontal="center" vertical="center"/>
    </xf>
    <xf numFmtId="0" fontId="41" fillId="0" borderId="0" xfId="0" applyNumberFormat="1" applyFont="1" applyFill="1" applyAlignment="1" applyProtection="1">
      <alignment vertical="center"/>
    </xf>
    <xf numFmtId="0" fontId="40" fillId="0" borderId="1" xfId="0" applyNumberFormat="1" applyFont="1" applyBorder="1" applyAlignment="1" applyProtection="1">
      <alignment vertical="center" shrinkToFit="1"/>
    </xf>
    <xf numFmtId="0" fontId="41" fillId="0" borderId="2" xfId="0" applyNumberFormat="1" applyFont="1" applyFill="1" applyBorder="1" applyAlignment="1" applyProtection="1">
      <alignment horizontal="distributed" vertical="center" justifyLastLine="1"/>
    </xf>
    <xf numFmtId="0" fontId="40" fillId="0" borderId="7" xfId="0" applyNumberFormat="1" applyFont="1" applyBorder="1" applyAlignment="1" applyProtection="1">
      <alignment horizontal="center" vertical="center" shrinkToFit="1"/>
    </xf>
    <xf numFmtId="0" fontId="41" fillId="0" borderId="2" xfId="0" applyNumberFormat="1" applyFont="1" applyBorder="1" applyAlignment="1" applyProtection="1">
      <alignment horizontal="center" vertical="center"/>
    </xf>
    <xf numFmtId="0" fontId="41" fillId="0" borderId="3" xfId="0" applyNumberFormat="1" applyFont="1" applyFill="1" applyBorder="1" applyAlignment="1" applyProtection="1">
      <alignment horizontal="center" vertical="center" shrinkToFit="1"/>
    </xf>
    <xf numFmtId="0" fontId="41" fillId="0" borderId="4" xfId="0" applyNumberFormat="1" applyFont="1" applyBorder="1" applyAlignment="1" applyProtection="1">
      <alignment horizontal="distributed" vertical="center" justifyLastLine="1"/>
    </xf>
    <xf numFmtId="0" fontId="41" fillId="0" borderId="5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Border="1" applyAlignment="1" applyProtection="1">
      <alignment vertical="center"/>
    </xf>
    <xf numFmtId="0" fontId="41" fillId="0" borderId="6" xfId="0" applyNumberFormat="1" applyFont="1" applyFill="1" applyBorder="1" applyAlignment="1" applyProtection="1">
      <alignment vertical="center"/>
    </xf>
    <xf numFmtId="0" fontId="41" fillId="0" borderId="0" xfId="0" applyNumberFormat="1" applyFont="1" applyFill="1" applyProtection="1"/>
    <xf numFmtId="0" fontId="41" fillId="0" borderId="0" xfId="0" applyNumberFormat="1" applyFont="1" applyFill="1" applyAlignment="1" applyProtection="1">
      <alignment horizontal="right" vertical="center"/>
    </xf>
    <xf numFmtId="0" fontId="41" fillId="0" borderId="0" xfId="0" applyNumberFormat="1" applyFont="1" applyAlignment="1" applyProtection="1">
      <alignment horizontal="right"/>
    </xf>
    <xf numFmtId="0" fontId="41" fillId="0" borderId="0" xfId="0" applyNumberFormat="1" applyFont="1" applyAlignment="1" applyProtection="1">
      <alignment horizontal="center"/>
    </xf>
    <xf numFmtId="0" fontId="41" fillId="0" borderId="0" xfId="0" quotePrefix="1" applyNumberFormat="1" applyFont="1" applyProtection="1"/>
    <xf numFmtId="0" fontId="41" fillId="0" borderId="0" xfId="0" applyFont="1" applyProtection="1"/>
    <xf numFmtId="0" fontId="41" fillId="9" borderId="0" xfId="0" applyNumberFormat="1" applyFont="1" applyFill="1" applyProtection="1"/>
    <xf numFmtId="0" fontId="44" fillId="9" borderId="0" xfId="0" applyFont="1" applyFill="1" applyAlignment="1" applyProtection="1">
      <alignment vertical="center"/>
    </xf>
    <xf numFmtId="0" fontId="41" fillId="0" borderId="0" xfId="0" applyFont="1" applyFill="1" applyAlignment="1" applyProtection="1">
      <alignment vertical="center"/>
    </xf>
    <xf numFmtId="0" fontId="40" fillId="0" borderId="8" xfId="0" applyFont="1" applyBorder="1" applyAlignment="1" applyProtection="1">
      <alignment vertical="center" shrinkToFit="1"/>
    </xf>
    <xf numFmtId="0" fontId="41" fillId="0" borderId="1" xfId="0" applyFont="1" applyFill="1" applyBorder="1" applyAlignment="1" applyProtection="1">
      <alignment vertical="center"/>
    </xf>
    <xf numFmtId="0" fontId="41" fillId="0" borderId="1" xfId="0" applyFont="1" applyBorder="1" applyAlignment="1" applyProtection="1"/>
    <xf numFmtId="0" fontId="41" fillId="0" borderId="8" xfId="0" applyFont="1" applyBorder="1" applyAlignment="1" applyProtection="1"/>
    <xf numFmtId="0" fontId="41" fillId="0" borderId="2" xfId="0" applyFont="1" applyFill="1" applyBorder="1" applyAlignment="1" applyProtection="1">
      <alignment horizontal="distributed" vertical="center" justifyLastLine="1"/>
    </xf>
    <xf numFmtId="0" fontId="29" fillId="0" borderId="7" xfId="0" applyFont="1" applyBorder="1" applyAlignment="1" applyProtection="1">
      <alignment horizontal="center" vertical="center" shrinkToFit="1"/>
    </xf>
    <xf numFmtId="0" fontId="41" fillId="0" borderId="2" xfId="0" applyFont="1" applyBorder="1" applyAlignment="1" applyProtection="1">
      <alignment horizontal="center" vertical="center" shrinkToFit="1"/>
    </xf>
    <xf numFmtId="0" fontId="41" fillId="0" borderId="2" xfId="0" applyFont="1" applyBorder="1" applyAlignment="1" applyProtection="1">
      <alignment horizontal="center" vertical="center"/>
    </xf>
    <xf numFmtId="0" fontId="52" fillId="0" borderId="3" xfId="0" applyFont="1" applyFill="1" applyBorder="1" applyAlignment="1" applyProtection="1">
      <alignment horizontal="distributed" vertical="center" justifyLastLine="1"/>
    </xf>
    <xf numFmtId="0" fontId="41" fillId="0" borderId="4" xfId="0" applyFont="1" applyBorder="1" applyAlignment="1" applyProtection="1">
      <alignment horizontal="distributed" vertical="center" justifyLastLine="1"/>
    </xf>
    <xf numFmtId="0" fontId="41" fillId="0" borderId="0" xfId="0" applyFont="1" applyFill="1" applyBorder="1" applyAlignment="1" applyProtection="1">
      <alignment vertical="center"/>
    </xf>
    <xf numFmtId="0" fontId="41" fillId="0" borderId="0" xfId="0" applyFont="1" applyFill="1" applyProtection="1"/>
    <xf numFmtId="0" fontId="41" fillId="0" borderId="0" xfId="0" applyFont="1" applyAlignment="1" applyProtection="1">
      <alignment horizontal="center"/>
    </xf>
    <xf numFmtId="0" fontId="41" fillId="0" borderId="0" xfId="0" quotePrefix="1" applyFont="1" applyProtection="1"/>
    <xf numFmtId="0" fontId="44" fillId="2" borderId="0" xfId="0" applyFont="1" applyFill="1" applyAlignment="1" applyProtection="1">
      <alignment vertical="center"/>
    </xf>
    <xf numFmtId="0" fontId="41" fillId="0" borderId="5" xfId="0" applyFont="1" applyFill="1" applyBorder="1" applyAlignment="1" applyProtection="1">
      <alignment vertical="center"/>
    </xf>
    <xf numFmtId="0" fontId="41" fillId="0" borderId="6" xfId="0" applyFont="1" applyFill="1" applyBorder="1" applyAlignment="1" applyProtection="1">
      <alignment vertical="center"/>
    </xf>
    <xf numFmtId="0" fontId="41" fillId="0" borderId="0" xfId="0" applyFont="1" applyFill="1" applyBorder="1" applyProtection="1"/>
    <xf numFmtId="0" fontId="41" fillId="0" borderId="0" xfId="0" applyFont="1" applyFill="1" applyAlignment="1" applyProtection="1">
      <alignment horizontal="right" vertical="center"/>
    </xf>
    <xf numFmtId="0" fontId="41" fillId="0" borderId="0" xfId="0" applyFont="1" applyAlignment="1" applyProtection="1">
      <alignment horizontal="right"/>
    </xf>
    <xf numFmtId="0" fontId="41" fillId="0" borderId="0" xfId="0" applyFont="1" applyBorder="1" applyProtection="1"/>
    <xf numFmtId="0" fontId="41" fillId="0" borderId="0" xfId="0" applyFont="1" applyBorder="1" applyAlignment="1" applyProtection="1">
      <alignment horizontal="center"/>
    </xf>
    <xf numFmtId="0" fontId="54" fillId="3" borderId="0" xfId="6" applyFont="1" applyFill="1">
      <alignment vertical="center"/>
    </xf>
    <xf numFmtId="0" fontId="55" fillId="3" borderId="0" xfId="6" applyFont="1" applyFill="1">
      <alignment vertical="center"/>
    </xf>
    <xf numFmtId="0" fontId="55" fillId="0" borderId="0" xfId="6" applyFont="1">
      <alignment vertical="center"/>
    </xf>
    <xf numFmtId="0" fontId="6" fillId="0" borderId="105" xfId="1" applyFont="1" applyBorder="1" applyAlignment="1">
      <alignment horizontal="center" vertical="center" shrinkToFit="1"/>
    </xf>
    <xf numFmtId="0" fontId="6" fillId="3" borderId="105" xfId="1" applyFont="1" applyFill="1" applyBorder="1" applyAlignment="1">
      <alignment horizontal="center" vertical="center" shrinkToFit="1"/>
    </xf>
    <xf numFmtId="176" fontId="30" fillId="10" borderId="78" xfId="5" applyNumberFormat="1" applyFont="1" applyFill="1" applyBorder="1" applyAlignment="1" applyProtection="1">
      <alignment horizontal="left" vertical="center" shrinkToFit="1"/>
      <protection locked="0"/>
    </xf>
    <xf numFmtId="0" fontId="56" fillId="0" borderId="106" xfId="1" applyFont="1" applyFill="1" applyBorder="1" applyAlignment="1">
      <alignment horizontal="right" vertical="center"/>
    </xf>
    <xf numFmtId="176" fontId="30" fillId="0" borderId="106" xfId="5" applyNumberFormat="1" applyFont="1" applyFill="1" applyBorder="1" applyAlignment="1" applyProtection="1">
      <alignment horizontal="center" vertical="center" wrapText="1" shrinkToFit="1"/>
      <protection locked="0"/>
    </xf>
    <xf numFmtId="0" fontId="41" fillId="0" borderId="2" xfId="0" applyFont="1" applyFill="1" applyBorder="1" applyAlignment="1" applyProtection="1">
      <alignment horizontal="center" vertical="center" shrinkToFit="1"/>
    </xf>
    <xf numFmtId="0" fontId="41" fillId="0" borderId="2" xfId="0" applyNumberFormat="1" applyFont="1" applyFill="1" applyBorder="1" applyAlignment="1" applyProtection="1">
      <alignment horizontal="center" vertical="center" shrinkToFit="1"/>
    </xf>
    <xf numFmtId="0" fontId="22" fillId="16" borderId="10" xfId="6" applyNumberFormat="1" applyFont="1" applyFill="1" applyBorder="1" applyAlignment="1" applyProtection="1">
      <alignment horizontal="center" vertical="center"/>
      <protection locked="0"/>
    </xf>
    <xf numFmtId="0" fontId="22" fillId="16" borderId="9" xfId="6" applyNumberFormat="1" applyFont="1" applyFill="1" applyBorder="1" applyAlignment="1" applyProtection="1">
      <alignment horizontal="center" vertical="center"/>
      <protection locked="0"/>
    </xf>
    <xf numFmtId="176" fontId="6" fillId="4" borderId="89" xfId="2" applyNumberFormat="1" applyFont="1" applyFill="1" applyBorder="1" applyAlignment="1" applyProtection="1">
      <alignment horizontal="center" vertical="center" shrinkToFit="1"/>
      <protection locked="0"/>
    </xf>
    <xf numFmtId="0" fontId="36" fillId="5" borderId="0" xfId="6" applyFont="1" applyFill="1" applyAlignment="1">
      <alignment horizontal="center" vertical="center"/>
    </xf>
    <xf numFmtId="0" fontId="37" fillId="5" borderId="0" xfId="6" applyFont="1" applyFill="1" applyAlignment="1">
      <alignment horizontal="left" vertical="top" wrapText="1"/>
    </xf>
    <xf numFmtId="0" fontId="8" fillId="11" borderId="77" xfId="6" applyNumberFormat="1" applyFont="1" applyFill="1" applyBorder="1" applyAlignment="1" applyProtection="1">
      <alignment horizontal="center" vertical="center"/>
    </xf>
    <xf numFmtId="0" fontId="8" fillId="11" borderId="78" xfId="6" applyNumberFormat="1" applyFont="1" applyFill="1" applyBorder="1" applyAlignment="1" applyProtection="1">
      <alignment horizontal="center" vertical="center"/>
    </xf>
    <xf numFmtId="0" fontId="22" fillId="12" borderId="79" xfId="6" applyNumberFormat="1" applyFont="1" applyFill="1" applyBorder="1" applyAlignment="1" applyProtection="1">
      <alignment horizontal="center" vertical="center" shrinkToFit="1"/>
      <protection locked="0"/>
    </xf>
    <xf numFmtId="0" fontId="22" fillId="12" borderId="13" xfId="6" applyNumberFormat="1" applyFont="1" applyFill="1" applyBorder="1" applyAlignment="1" applyProtection="1">
      <alignment horizontal="center" vertical="center" shrinkToFit="1"/>
      <protection locked="0"/>
    </xf>
    <xf numFmtId="0" fontId="6" fillId="10" borderId="80" xfId="6" applyNumberFormat="1" applyFont="1" applyFill="1" applyBorder="1" applyAlignment="1" applyProtection="1">
      <alignment horizontal="center" vertical="center" shrinkToFit="1"/>
    </xf>
    <xf numFmtId="0" fontId="8" fillId="11" borderId="9" xfId="6" applyNumberFormat="1" applyFont="1" applyFill="1" applyBorder="1" applyAlignment="1" applyProtection="1">
      <alignment horizontal="center" vertical="center"/>
    </xf>
    <xf numFmtId="0" fontId="22" fillId="16" borderId="81" xfId="6" applyNumberFormat="1" applyFont="1" applyFill="1" applyBorder="1" applyAlignment="1" applyProtection="1">
      <alignment horizontal="center" vertical="center"/>
      <protection locked="0"/>
    </xf>
    <xf numFmtId="0" fontId="22" fillId="16" borderId="0" xfId="6" applyNumberFormat="1" applyFont="1" applyFill="1" applyBorder="1" applyAlignment="1" applyProtection="1">
      <alignment horizontal="center" vertical="center"/>
      <protection locked="0"/>
    </xf>
    <xf numFmtId="0" fontId="8" fillId="11" borderId="90" xfId="6" applyNumberFormat="1" applyFont="1" applyFill="1" applyBorder="1" applyAlignment="1" applyProtection="1">
      <alignment horizontal="center" vertical="center"/>
    </xf>
    <xf numFmtId="0" fontId="8" fillId="11" borderId="89" xfId="6" applyNumberFormat="1" applyFont="1" applyFill="1" applyBorder="1" applyAlignment="1" applyProtection="1">
      <alignment horizontal="center" vertical="center"/>
    </xf>
    <xf numFmtId="0" fontId="24" fillId="3" borderId="2" xfId="6" applyNumberFormat="1" applyFont="1" applyFill="1" applyBorder="1" applyAlignment="1" applyProtection="1">
      <alignment horizontal="center" vertical="center"/>
      <protection locked="0"/>
    </xf>
    <xf numFmtId="0" fontId="8" fillId="11" borderId="10" xfId="6" applyNumberFormat="1" applyFont="1" applyFill="1" applyBorder="1" applyAlignment="1" applyProtection="1">
      <alignment horizontal="center" vertical="center"/>
    </xf>
    <xf numFmtId="0" fontId="26" fillId="5" borderId="83" xfId="6" applyNumberFormat="1" applyFont="1" applyFill="1" applyBorder="1" applyAlignment="1" applyProtection="1">
      <alignment horizontal="center" vertical="center"/>
    </xf>
    <xf numFmtId="0" fontId="26" fillId="5" borderId="84" xfId="6" applyNumberFormat="1" applyFont="1" applyFill="1" applyBorder="1" applyAlignment="1" applyProtection="1">
      <alignment horizontal="center" vertical="center"/>
    </xf>
    <xf numFmtId="0" fontId="8" fillId="11" borderId="18" xfId="6" applyNumberFormat="1" applyFont="1" applyFill="1" applyBorder="1" applyAlignment="1" applyProtection="1">
      <alignment horizontal="center" vertical="center"/>
    </xf>
    <xf numFmtId="0" fontId="8" fillId="11" borderId="20" xfId="6" applyNumberFormat="1" applyFont="1" applyFill="1" applyBorder="1" applyAlignment="1" applyProtection="1">
      <alignment horizontal="center" vertical="center"/>
    </xf>
    <xf numFmtId="0" fontId="12" fillId="5" borderId="103" xfId="6" applyNumberFormat="1" applyFont="1" applyFill="1" applyBorder="1" applyAlignment="1" applyProtection="1">
      <alignment horizontal="center" vertical="center"/>
    </xf>
    <xf numFmtId="0" fontId="12" fillId="5" borderId="104" xfId="6" applyNumberFormat="1" applyFont="1" applyFill="1" applyBorder="1" applyAlignment="1" applyProtection="1">
      <alignment horizontal="center" vertical="center"/>
    </xf>
    <xf numFmtId="0" fontId="12" fillId="5" borderId="102" xfId="6" applyNumberFormat="1" applyFont="1" applyFill="1" applyBorder="1" applyAlignment="1" applyProtection="1">
      <alignment horizontal="center" vertical="center"/>
    </xf>
    <xf numFmtId="0" fontId="8" fillId="11" borderId="94" xfId="6" applyNumberFormat="1" applyFont="1" applyFill="1" applyBorder="1" applyAlignment="1" applyProtection="1">
      <alignment horizontal="center" vertical="center"/>
    </xf>
    <xf numFmtId="0" fontId="8" fillId="13" borderId="70" xfId="1" applyFont="1" applyFill="1" applyBorder="1" applyAlignment="1">
      <alignment horizontal="center" vertical="center"/>
    </xf>
    <xf numFmtId="0" fontId="8" fillId="13" borderId="68" xfId="1" applyFont="1" applyFill="1" applyBorder="1" applyAlignment="1">
      <alignment horizontal="center" vertical="center"/>
    </xf>
    <xf numFmtId="0" fontId="8" fillId="13" borderId="99" xfId="1" applyFont="1" applyFill="1" applyBorder="1" applyAlignment="1">
      <alignment horizontal="center" vertical="center"/>
    </xf>
    <xf numFmtId="0" fontId="13" fillId="0" borderId="14" xfId="0" applyNumberFormat="1" applyFont="1" applyBorder="1" applyAlignment="1" applyProtection="1">
      <alignment horizontal="center" vertical="center"/>
    </xf>
    <xf numFmtId="0" fontId="13" fillId="0" borderId="4" xfId="0" applyNumberFormat="1" applyFont="1" applyBorder="1" applyAlignment="1" applyProtection="1">
      <alignment horizontal="center" vertical="center"/>
    </xf>
    <xf numFmtId="0" fontId="8" fillId="0" borderId="2" xfId="4" applyNumberFormat="1" applyFont="1" applyFill="1" applyBorder="1" applyAlignment="1" applyProtection="1">
      <alignment horizontal="center" vertical="center" justifyLastLine="1"/>
    </xf>
    <xf numFmtId="0" fontId="17" fillId="9" borderId="11" xfId="0" applyNumberFormat="1" applyFont="1" applyFill="1" applyBorder="1" applyAlignment="1" applyProtection="1">
      <alignment horizontal="center" vertical="center"/>
    </xf>
    <xf numFmtId="0" fontId="17" fillId="9" borderId="101" xfId="0" applyNumberFormat="1" applyFont="1" applyFill="1" applyBorder="1" applyAlignment="1" applyProtection="1">
      <alignment horizontal="center" vertical="center"/>
    </xf>
    <xf numFmtId="0" fontId="20" fillId="10" borderId="2" xfId="4" applyNumberFormat="1" applyFont="1" applyFill="1" applyBorder="1" applyAlignment="1" applyProtection="1">
      <alignment horizontal="center" vertical="center" justifyLastLine="1"/>
      <protection locked="0"/>
    </xf>
    <xf numFmtId="0" fontId="15" fillId="9" borderId="0" xfId="2" applyFont="1" applyFill="1" applyAlignment="1" applyProtection="1">
      <alignment horizontal="left" vertical="center" wrapText="1"/>
    </xf>
    <xf numFmtId="0" fontId="19" fillId="3" borderId="43" xfId="2" applyFont="1" applyFill="1" applyBorder="1" applyAlignment="1" applyProtection="1">
      <alignment horizontal="center" vertical="center" wrapText="1"/>
    </xf>
    <xf numFmtId="0" fontId="19" fillId="3" borderId="44" xfId="2" applyFont="1" applyFill="1" applyBorder="1" applyAlignment="1" applyProtection="1">
      <alignment horizontal="center" vertical="center" wrapText="1"/>
    </xf>
    <xf numFmtId="0" fontId="19" fillId="3" borderId="45" xfId="2" applyFont="1" applyFill="1" applyBorder="1" applyAlignment="1" applyProtection="1">
      <alignment horizontal="center" vertical="center" wrapText="1"/>
    </xf>
    <xf numFmtId="0" fontId="19" fillId="3" borderId="63" xfId="2" applyFont="1" applyFill="1" applyBorder="1" applyAlignment="1" applyProtection="1">
      <alignment horizontal="center" vertical="center" wrapText="1"/>
    </xf>
    <xf numFmtId="0" fontId="19" fillId="3" borderId="0" xfId="2" applyFont="1" applyFill="1" applyBorder="1" applyAlignment="1" applyProtection="1">
      <alignment horizontal="center" vertical="center" wrapText="1"/>
    </xf>
    <xf numFmtId="0" fontId="19" fillId="3" borderId="59" xfId="2" applyFont="1" applyFill="1" applyBorder="1" applyAlignment="1" applyProtection="1">
      <alignment horizontal="center" vertical="center" wrapText="1"/>
    </xf>
    <xf numFmtId="0" fontId="19" fillId="3" borderId="46" xfId="2" applyFont="1" applyFill="1" applyBorder="1" applyAlignment="1" applyProtection="1">
      <alignment horizontal="center" vertical="center" wrapText="1"/>
    </xf>
    <xf numFmtId="0" fontId="19" fillId="3" borderId="47" xfId="2" applyFont="1" applyFill="1" applyBorder="1" applyAlignment="1" applyProtection="1">
      <alignment horizontal="center" vertical="center" wrapText="1"/>
    </xf>
    <xf numFmtId="0" fontId="19" fillId="3" borderId="48" xfId="2" applyFont="1" applyFill="1" applyBorder="1" applyAlignment="1" applyProtection="1">
      <alignment horizontal="center" vertical="center" wrapText="1"/>
    </xf>
    <xf numFmtId="0" fontId="6" fillId="3" borderId="20" xfId="2" applyFont="1" applyFill="1" applyBorder="1" applyAlignment="1" applyProtection="1">
      <alignment horizontal="center" vertical="center" shrinkToFit="1"/>
    </xf>
    <xf numFmtId="0" fontId="6" fillId="3" borderId="98" xfId="2" applyFont="1" applyFill="1" applyBorder="1" applyAlignment="1" applyProtection="1">
      <alignment horizontal="center" vertical="center" shrinkToFit="1"/>
    </xf>
    <xf numFmtId="0" fontId="6" fillId="3" borderId="89" xfId="2" applyFont="1" applyFill="1" applyBorder="1" applyAlignment="1" applyProtection="1">
      <alignment horizontal="center" vertical="center" shrinkToFit="1"/>
    </xf>
    <xf numFmtId="0" fontId="32" fillId="0" borderId="46" xfId="0" applyFont="1" applyBorder="1" applyAlignment="1" applyProtection="1">
      <alignment horizontal="center" vertical="center"/>
    </xf>
    <xf numFmtId="0" fontId="32" fillId="0" borderId="47" xfId="0" applyFont="1" applyBorder="1" applyAlignment="1" applyProtection="1">
      <alignment horizontal="center" vertical="center"/>
    </xf>
    <xf numFmtId="0" fontId="32" fillId="0" borderId="63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43" xfId="0" applyFont="1" applyBorder="1" applyAlignment="1" applyProtection="1">
      <alignment horizontal="center" vertical="center"/>
    </xf>
    <xf numFmtId="0" fontId="32" fillId="0" borderId="44" xfId="0" applyFont="1" applyBorder="1" applyAlignment="1" applyProtection="1">
      <alignment horizontal="center" vertical="center"/>
    </xf>
    <xf numFmtId="0" fontId="20" fillId="7" borderId="43" xfId="0" applyFont="1" applyFill="1" applyBorder="1" applyAlignment="1" applyProtection="1">
      <alignment horizontal="center" vertical="center"/>
    </xf>
    <xf numFmtId="0" fontId="20" fillId="7" borderId="44" xfId="0" applyFont="1" applyFill="1" applyBorder="1" applyAlignment="1" applyProtection="1">
      <alignment horizontal="center" vertical="center"/>
    </xf>
    <xf numFmtId="0" fontId="20" fillId="7" borderId="45" xfId="0" applyFont="1" applyFill="1" applyBorder="1" applyAlignment="1" applyProtection="1">
      <alignment horizontal="center" vertical="center"/>
    </xf>
    <xf numFmtId="0" fontId="20" fillId="7" borderId="46" xfId="0" applyFont="1" applyFill="1" applyBorder="1" applyAlignment="1" applyProtection="1">
      <alignment horizontal="center" vertical="center"/>
    </xf>
    <xf numFmtId="0" fontId="20" fillId="7" borderId="47" xfId="0" applyFont="1" applyFill="1" applyBorder="1" applyAlignment="1" applyProtection="1">
      <alignment horizontal="center" vertical="center"/>
    </xf>
    <xf numFmtId="0" fontId="20" fillId="7" borderId="48" xfId="0" applyFont="1" applyFill="1" applyBorder="1" applyAlignment="1" applyProtection="1">
      <alignment horizontal="center" vertical="center"/>
    </xf>
    <xf numFmtId="0" fontId="19" fillId="8" borderId="43" xfId="0" applyFont="1" applyFill="1" applyBorder="1" applyAlignment="1" applyProtection="1">
      <alignment horizontal="center" vertical="center" wrapText="1"/>
    </xf>
    <xf numFmtId="0" fontId="19" fillId="8" borderId="44" xfId="0" applyFont="1" applyFill="1" applyBorder="1" applyAlignment="1" applyProtection="1">
      <alignment horizontal="center" vertical="center"/>
    </xf>
    <xf numFmtId="0" fontId="19" fillId="8" borderId="45" xfId="0" applyFont="1" applyFill="1" applyBorder="1" applyAlignment="1" applyProtection="1">
      <alignment horizontal="center" vertical="center"/>
    </xf>
    <xf numFmtId="0" fontId="19" fillId="8" borderId="46" xfId="0" applyFont="1" applyFill="1" applyBorder="1" applyAlignment="1" applyProtection="1">
      <alignment horizontal="center" vertical="center"/>
    </xf>
    <xf numFmtId="0" fontId="19" fillId="8" borderId="47" xfId="0" applyFont="1" applyFill="1" applyBorder="1" applyAlignment="1" applyProtection="1">
      <alignment horizontal="center" vertical="center"/>
    </xf>
    <xf numFmtId="0" fontId="19" fillId="8" borderId="48" xfId="0" applyFont="1" applyFill="1" applyBorder="1" applyAlignment="1" applyProtection="1">
      <alignment horizontal="center" vertical="center"/>
    </xf>
    <xf numFmtId="0" fontId="32" fillId="0" borderId="44" xfId="0" quotePrefix="1" applyFont="1" applyBorder="1" applyAlignment="1" applyProtection="1">
      <alignment horizontal="center" vertical="center"/>
    </xf>
    <xf numFmtId="0" fontId="32" fillId="0" borderId="49" xfId="0" quotePrefix="1" applyFont="1" applyBorder="1" applyAlignment="1" applyProtection="1">
      <alignment horizontal="center" vertical="center"/>
    </xf>
    <xf numFmtId="0" fontId="32" fillId="0" borderId="51" xfId="0" quotePrefix="1" applyFont="1" applyBorder="1" applyAlignment="1" applyProtection="1">
      <alignment horizontal="center" vertical="center"/>
    </xf>
    <xf numFmtId="0" fontId="32" fillId="0" borderId="17" xfId="0" quotePrefix="1" applyFont="1" applyBorder="1" applyAlignment="1" applyProtection="1">
      <alignment horizontal="center" vertical="center"/>
    </xf>
    <xf numFmtId="0" fontId="32" fillId="0" borderId="26" xfId="0" quotePrefix="1" applyFont="1" applyBorder="1" applyAlignment="1" applyProtection="1">
      <alignment horizontal="center" vertical="center"/>
    </xf>
    <xf numFmtId="0" fontId="19" fillId="0" borderId="50" xfId="0" applyFont="1" applyBorder="1" applyAlignment="1" applyProtection="1">
      <alignment horizontal="center" vertical="center"/>
    </xf>
    <xf numFmtId="0" fontId="19" fillId="0" borderId="44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52" xfId="0" applyFont="1" applyBorder="1" applyAlignment="1" applyProtection="1">
      <alignment horizontal="center" vertical="center"/>
    </xf>
    <xf numFmtId="0" fontId="32" fillId="0" borderId="53" xfId="0" applyFont="1" applyBorder="1" applyAlignment="1" applyProtection="1">
      <alignment horizontal="center" vertical="center"/>
    </xf>
    <xf numFmtId="0" fontId="32" fillId="0" borderId="40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</xf>
    <xf numFmtId="0" fontId="32" fillId="0" borderId="55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13" fillId="0" borderId="54" xfId="0" applyFont="1" applyBorder="1" applyAlignment="1" applyProtection="1">
      <alignment horizontal="center" vertical="center"/>
    </xf>
    <xf numFmtId="0" fontId="13" fillId="0" borderId="56" xfId="0" applyFont="1" applyBorder="1" applyAlignment="1" applyProtection="1">
      <alignment horizontal="center" vertical="center"/>
    </xf>
    <xf numFmtId="0" fontId="13" fillId="0" borderId="47" xfId="0" applyFont="1" applyBorder="1" applyAlignment="1" applyProtection="1">
      <alignment horizontal="center" vertical="center"/>
    </xf>
    <xf numFmtId="0" fontId="13" fillId="0" borderId="48" xfId="0" applyFont="1" applyBorder="1" applyAlignment="1" applyProtection="1">
      <alignment horizontal="center" vertical="center"/>
    </xf>
    <xf numFmtId="0" fontId="33" fillId="3" borderId="43" xfId="0" applyFont="1" applyFill="1" applyBorder="1" applyAlignment="1" applyProtection="1">
      <alignment horizontal="center" vertical="center"/>
    </xf>
    <xf numFmtId="0" fontId="33" fillId="3" borderId="44" xfId="0" applyFont="1" applyFill="1" applyBorder="1" applyAlignment="1" applyProtection="1">
      <alignment horizontal="center" vertical="center"/>
    </xf>
    <xf numFmtId="0" fontId="33" fillId="3" borderId="45" xfId="0" applyFont="1" applyFill="1" applyBorder="1" applyAlignment="1" applyProtection="1">
      <alignment horizontal="center" vertical="center"/>
    </xf>
    <xf numFmtId="0" fontId="33" fillId="3" borderId="46" xfId="0" applyFont="1" applyFill="1" applyBorder="1" applyAlignment="1" applyProtection="1">
      <alignment horizontal="center" vertical="center"/>
    </xf>
    <xf numFmtId="0" fontId="33" fillId="3" borderId="47" xfId="0" applyFont="1" applyFill="1" applyBorder="1" applyAlignment="1" applyProtection="1">
      <alignment horizontal="center" vertical="center"/>
    </xf>
    <xf numFmtId="0" fontId="33" fillId="3" borderId="48" xfId="0" applyFont="1" applyFill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/>
    </xf>
    <xf numFmtId="0" fontId="6" fillId="0" borderId="58" xfId="0" applyFont="1" applyBorder="1" applyAlignment="1" applyProtection="1">
      <alignment horizontal="center"/>
    </xf>
    <xf numFmtId="0" fontId="11" fillId="0" borderId="50" xfId="0" applyFont="1" applyBorder="1" applyAlignment="1" applyProtection="1">
      <alignment horizontal="center" vertical="center" wrapText="1"/>
    </xf>
    <xf numFmtId="0" fontId="11" fillId="0" borderId="49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11" fillId="0" borderId="59" xfId="0" applyFont="1" applyBorder="1" applyAlignment="1" applyProtection="1">
      <alignment horizontal="center" vertical="center" wrapText="1"/>
    </xf>
    <xf numFmtId="0" fontId="11" fillId="0" borderId="52" xfId="0" applyFont="1" applyBorder="1" applyAlignment="1" applyProtection="1">
      <alignment horizontal="center" vertical="center" wrapText="1"/>
    </xf>
    <xf numFmtId="0" fontId="11" fillId="0" borderId="60" xfId="0" applyFont="1" applyBorder="1" applyAlignment="1" applyProtection="1">
      <alignment horizontal="center" vertical="center"/>
    </xf>
    <xf numFmtId="0" fontId="11" fillId="0" borderId="61" xfId="0" applyFont="1" applyBorder="1" applyAlignment="1" applyProtection="1">
      <alignment horizontal="center" vertical="center"/>
    </xf>
    <xf numFmtId="0" fontId="11" fillId="0" borderId="62" xfId="0" applyFont="1" applyBorder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33" fillId="0" borderId="24" xfId="0" applyFont="1" applyBorder="1" applyAlignment="1" applyProtection="1">
      <alignment horizontal="center" vertical="center"/>
    </xf>
    <xf numFmtId="0" fontId="33" fillId="0" borderId="5" xfId="0" applyFont="1" applyBorder="1" applyAlignment="1" applyProtection="1">
      <alignment horizontal="center" vertical="center"/>
    </xf>
    <xf numFmtId="0" fontId="33" fillId="0" borderId="16" xfId="0" applyFont="1" applyBorder="1" applyAlignment="1" applyProtection="1">
      <alignment horizontal="center" vertical="center"/>
    </xf>
    <xf numFmtId="5" fontId="33" fillId="0" borderId="24" xfId="0" applyNumberFormat="1" applyFont="1" applyBorder="1" applyAlignment="1" applyProtection="1">
      <alignment horizontal="center" vertical="center"/>
    </xf>
    <xf numFmtId="5" fontId="33" fillId="0" borderId="54" xfId="0" applyNumberFormat="1" applyFont="1" applyBorder="1" applyAlignment="1" applyProtection="1">
      <alignment horizontal="center" vertical="center"/>
    </xf>
    <xf numFmtId="5" fontId="33" fillId="0" borderId="5" xfId="0" applyNumberFormat="1" applyFont="1" applyBorder="1" applyAlignment="1" applyProtection="1">
      <alignment horizontal="center" vertical="center"/>
    </xf>
    <xf numFmtId="5" fontId="33" fillId="0" borderId="59" xfId="0" applyNumberFormat="1" applyFont="1" applyBorder="1" applyAlignment="1" applyProtection="1">
      <alignment horizontal="center" vertical="center"/>
    </xf>
    <xf numFmtId="5" fontId="33" fillId="0" borderId="16" xfId="0" applyNumberFormat="1" applyFont="1" applyBorder="1" applyAlignment="1" applyProtection="1">
      <alignment horizontal="center" vertical="center"/>
    </xf>
    <xf numFmtId="5" fontId="33" fillId="0" borderId="52" xfId="0" applyNumberFormat="1" applyFont="1" applyBorder="1" applyAlignment="1" applyProtection="1">
      <alignment horizontal="center" vertical="center"/>
    </xf>
    <xf numFmtId="0" fontId="32" fillId="0" borderId="60" xfId="0" applyFont="1" applyBorder="1" applyAlignment="1" applyProtection="1">
      <alignment horizontal="center" vertical="center"/>
    </xf>
    <xf numFmtId="0" fontId="32" fillId="0" borderId="61" xfId="0" applyFont="1" applyBorder="1" applyAlignment="1" applyProtection="1">
      <alignment horizontal="center" vertical="center"/>
    </xf>
    <xf numFmtId="0" fontId="32" fillId="0" borderId="64" xfId="0" applyFont="1" applyBorder="1" applyAlignment="1" applyProtection="1">
      <alignment horizontal="center" vertical="center"/>
    </xf>
    <xf numFmtId="0" fontId="33" fillId="0" borderId="56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5" fontId="33" fillId="0" borderId="43" xfId="0" applyNumberFormat="1" applyFont="1" applyBorder="1" applyAlignment="1" applyProtection="1">
      <alignment horizontal="center" vertical="center"/>
    </xf>
    <xf numFmtId="5" fontId="33" fillId="0" borderId="45" xfId="0" applyNumberFormat="1" applyFont="1" applyBorder="1" applyAlignment="1" applyProtection="1">
      <alignment horizontal="center" vertical="center"/>
    </xf>
    <xf numFmtId="5" fontId="33" fillId="0" borderId="63" xfId="0" applyNumberFormat="1" applyFont="1" applyBorder="1" applyAlignment="1" applyProtection="1">
      <alignment horizontal="center" vertical="center"/>
    </xf>
    <xf numFmtId="5" fontId="33" fillId="0" borderId="46" xfId="0" applyNumberFormat="1" applyFont="1" applyBorder="1" applyAlignment="1" applyProtection="1">
      <alignment horizontal="center" vertical="center"/>
    </xf>
    <xf numFmtId="5" fontId="33" fillId="0" borderId="48" xfId="0" applyNumberFormat="1" applyFont="1" applyBorder="1" applyAlignment="1" applyProtection="1">
      <alignment horizontal="center" vertical="center"/>
    </xf>
    <xf numFmtId="0" fontId="32" fillId="0" borderId="24" xfId="0" applyFont="1" applyBorder="1" applyAlignment="1" applyProtection="1">
      <alignment horizontal="center" vertical="center"/>
    </xf>
    <xf numFmtId="0" fontId="32" fillId="0" borderId="16" xfId="0" applyFont="1" applyBorder="1" applyAlignment="1" applyProtection="1">
      <alignment horizontal="center" vertical="center"/>
    </xf>
    <xf numFmtId="0" fontId="32" fillId="0" borderId="26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3" borderId="65" xfId="0" applyFont="1" applyFill="1" applyBorder="1" applyAlignment="1" applyProtection="1">
      <alignment horizontal="center" vertical="center"/>
    </xf>
    <xf numFmtId="0" fontId="19" fillId="3" borderId="66" xfId="0" applyFont="1" applyFill="1" applyBorder="1" applyAlignment="1" applyProtection="1">
      <alignment horizontal="center" vertical="center"/>
    </xf>
    <xf numFmtId="0" fontId="33" fillId="0" borderId="67" xfId="0" applyFont="1" applyBorder="1" applyAlignment="1" applyProtection="1">
      <alignment horizontal="center" vertical="center"/>
      <protection locked="0"/>
    </xf>
    <xf numFmtId="0" fontId="33" fillId="0" borderId="68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 wrapText="1"/>
    </xf>
    <xf numFmtId="0" fontId="6" fillId="0" borderId="68" xfId="0" applyFont="1" applyBorder="1" applyAlignment="1" applyProtection="1">
      <alignment horizontal="center" vertical="center"/>
    </xf>
    <xf numFmtId="5" fontId="33" fillId="0" borderId="70" xfId="0" applyNumberFormat="1" applyFont="1" applyBorder="1" applyAlignment="1" applyProtection="1">
      <alignment horizontal="center" vertical="center"/>
    </xf>
    <xf numFmtId="5" fontId="33" fillId="0" borderId="13" xfId="0" applyNumberFormat="1" applyFont="1" applyBorder="1" applyAlignment="1" applyProtection="1">
      <alignment horizontal="center" vertical="center"/>
    </xf>
    <xf numFmtId="0" fontId="13" fillId="3" borderId="57" xfId="0" applyFont="1" applyFill="1" applyBorder="1" applyAlignment="1" applyProtection="1">
      <alignment horizontal="center" vertical="center"/>
    </xf>
    <xf numFmtId="0" fontId="13" fillId="3" borderId="71" xfId="0" applyFont="1" applyFill="1" applyBorder="1" applyAlignment="1" applyProtection="1">
      <alignment horizontal="center" vertical="center"/>
    </xf>
    <xf numFmtId="0" fontId="13" fillId="3" borderId="58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74" xfId="0" applyFont="1" applyFill="1" applyBorder="1" applyAlignment="1" applyProtection="1">
      <alignment horizontal="center" vertical="center"/>
    </xf>
    <xf numFmtId="0" fontId="13" fillId="3" borderId="75" xfId="0" applyFont="1" applyFill="1" applyBorder="1" applyAlignment="1" applyProtection="1">
      <alignment horizontal="center" vertical="center"/>
    </xf>
    <xf numFmtId="5" fontId="20" fillId="0" borderId="71" xfId="0" applyNumberFormat="1" applyFont="1" applyBorder="1" applyAlignment="1" applyProtection="1">
      <alignment horizontal="center" vertical="center"/>
    </xf>
    <xf numFmtId="0" fontId="20" fillId="0" borderId="71" xfId="0" applyFont="1" applyBorder="1" applyAlignment="1" applyProtection="1">
      <alignment horizontal="center" vertical="center"/>
    </xf>
    <xf numFmtId="0" fontId="20" fillId="0" borderId="7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73" xfId="0" applyFont="1" applyBorder="1" applyAlignment="1" applyProtection="1">
      <alignment horizontal="center" vertical="center"/>
    </xf>
    <xf numFmtId="0" fontId="20" fillId="0" borderId="75" xfId="0" applyFont="1" applyBorder="1" applyAlignment="1" applyProtection="1">
      <alignment horizontal="center" vertical="center"/>
    </xf>
    <xf numFmtId="0" fontId="20" fillId="0" borderId="76" xfId="0" applyFont="1" applyBorder="1" applyAlignment="1" applyProtection="1">
      <alignment horizontal="center" vertical="center"/>
    </xf>
    <xf numFmtId="0" fontId="40" fillId="0" borderId="14" xfId="0" applyNumberFormat="1" applyFont="1" applyBorder="1" applyAlignment="1" applyProtection="1">
      <alignment horizontal="center" vertical="center" shrinkToFit="1"/>
    </xf>
    <xf numFmtId="0" fontId="40" fillId="0" borderId="4" xfId="0" applyNumberFormat="1" applyFont="1" applyBorder="1" applyAlignment="1" applyProtection="1">
      <alignment horizontal="center" vertical="center" shrinkToFit="1"/>
    </xf>
    <xf numFmtId="0" fontId="43" fillId="0" borderId="7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43" fillId="0" borderId="8" xfId="0" applyNumberFormat="1" applyFont="1" applyFill="1" applyBorder="1" applyAlignment="1" applyProtection="1">
      <alignment horizontal="center" vertical="center"/>
    </xf>
    <xf numFmtId="0" fontId="49" fillId="0" borderId="19" xfId="0" applyNumberFormat="1" applyFont="1" applyFill="1" applyBorder="1" applyAlignment="1" applyProtection="1">
      <alignment horizontal="center" vertical="center" shrinkToFit="1"/>
    </xf>
    <xf numFmtId="0" fontId="49" fillId="0" borderId="27" xfId="0" applyNumberFormat="1" applyFont="1" applyFill="1" applyBorder="1" applyAlignment="1" applyProtection="1">
      <alignment horizontal="center" vertical="center" shrinkToFit="1"/>
    </xf>
    <xf numFmtId="0" fontId="46" fillId="0" borderId="36" xfId="0" applyNumberFormat="1" applyFont="1" applyFill="1" applyBorder="1" applyAlignment="1" applyProtection="1">
      <alignment horizontal="distributed" vertical="center" justifyLastLine="1" shrinkToFit="1"/>
    </xf>
    <xf numFmtId="0" fontId="46" fillId="0" borderId="37" xfId="0" applyNumberFormat="1" applyFont="1" applyFill="1" applyBorder="1" applyAlignment="1" applyProtection="1">
      <alignment horizontal="distributed" vertical="center" justifyLastLine="1" shrinkToFit="1"/>
    </xf>
    <xf numFmtId="0" fontId="46" fillId="0" borderId="38" xfId="0" applyNumberFormat="1" applyFont="1" applyFill="1" applyBorder="1" applyAlignment="1" applyProtection="1">
      <alignment horizontal="distributed" vertical="center" justifyLastLine="1" shrinkToFit="1"/>
    </xf>
    <xf numFmtId="0" fontId="41" fillId="0" borderId="33" xfId="0" applyNumberFormat="1" applyFont="1" applyFill="1" applyBorder="1" applyAlignment="1" applyProtection="1">
      <alignment horizontal="distributed" vertical="center" justifyLastLine="1" shrinkToFit="1"/>
    </xf>
    <xf numFmtId="0" fontId="41" fillId="0" borderId="34" xfId="0" applyNumberFormat="1" applyFont="1" applyFill="1" applyBorder="1" applyAlignment="1" applyProtection="1">
      <alignment horizontal="distributed" vertical="center" justifyLastLine="1" shrinkToFit="1"/>
    </xf>
    <xf numFmtId="0" fontId="41" fillId="0" borderId="35" xfId="0" applyNumberFormat="1" applyFont="1" applyFill="1" applyBorder="1" applyAlignment="1" applyProtection="1">
      <alignment horizontal="distributed" vertical="center" justifyLastLine="1" shrinkToFit="1"/>
    </xf>
    <xf numFmtId="0" fontId="50" fillId="0" borderId="0" xfId="0" applyNumberFormat="1" applyFont="1" applyFill="1" applyAlignment="1" applyProtection="1">
      <alignment vertical="center" wrapText="1"/>
    </xf>
    <xf numFmtId="0" fontId="50" fillId="0" borderId="0" xfId="0" applyNumberFormat="1" applyFont="1" applyFill="1" applyAlignment="1" applyProtection="1">
      <alignment vertical="center"/>
    </xf>
    <xf numFmtId="0" fontId="51" fillId="0" borderId="0" xfId="0" applyNumberFormat="1" applyFont="1" applyFill="1" applyAlignment="1" applyProtection="1">
      <alignment horizontal="right" vertical="center"/>
    </xf>
    <xf numFmtId="0" fontId="50" fillId="0" borderId="0" xfId="0" applyNumberFormat="1" applyFont="1" applyFill="1" applyAlignment="1" applyProtection="1">
      <alignment horizontal="right" vertical="center"/>
    </xf>
    <xf numFmtId="0" fontId="43" fillId="0" borderId="14" xfId="0" applyNumberFormat="1" applyFont="1" applyFill="1" applyBorder="1" applyAlignment="1" applyProtection="1">
      <alignment horizontal="distributed" vertical="center" justifyLastLine="1"/>
    </xf>
    <xf numFmtId="0" fontId="41" fillId="0" borderId="4" xfId="0" applyNumberFormat="1" applyFont="1" applyBorder="1" applyAlignment="1" applyProtection="1">
      <alignment horizontal="distributed" vertical="center" justifyLastLine="1"/>
    </xf>
    <xf numFmtId="0" fontId="43" fillId="0" borderId="24" xfId="0" applyNumberFormat="1" applyFont="1" applyFill="1" applyBorder="1" applyAlignment="1" applyProtection="1">
      <alignment horizontal="distributed" vertical="center" justifyLastLine="1"/>
    </xf>
    <xf numFmtId="0" fontId="41" fillId="0" borderId="25" xfId="0" applyNumberFormat="1" applyFont="1" applyBorder="1" applyAlignment="1" applyProtection="1">
      <alignment horizontal="distributed" vertical="center" justifyLastLine="1"/>
    </xf>
    <xf numFmtId="0" fontId="41" fillId="0" borderId="16" xfId="0" applyNumberFormat="1" applyFont="1" applyBorder="1" applyAlignment="1" applyProtection="1">
      <alignment horizontal="distributed" vertical="center" justifyLastLine="1"/>
    </xf>
    <xf numFmtId="0" fontId="41" fillId="0" borderId="26" xfId="0" applyNumberFormat="1" applyFont="1" applyBorder="1" applyAlignment="1" applyProtection="1">
      <alignment horizontal="distributed" vertical="center" justifyLastLine="1"/>
    </xf>
    <xf numFmtId="0" fontId="40" fillId="0" borderId="24" xfId="0" applyNumberFormat="1" applyFont="1" applyBorder="1" applyAlignment="1" applyProtection="1">
      <alignment horizontal="center" vertical="center" shrinkToFit="1"/>
    </xf>
    <xf numFmtId="0" fontId="40" fillId="0" borderId="25" xfId="0" applyNumberFormat="1" applyFont="1" applyBorder="1" applyAlignment="1" applyProtection="1">
      <alignment horizontal="center" vertical="center" shrinkToFit="1"/>
    </xf>
    <xf numFmtId="0" fontId="40" fillId="0" borderId="16" xfId="0" applyNumberFormat="1" applyFont="1" applyBorder="1" applyAlignment="1" applyProtection="1">
      <alignment horizontal="center" vertical="center" shrinkToFit="1"/>
    </xf>
    <xf numFmtId="0" fontId="40" fillId="0" borderId="26" xfId="0" applyNumberFormat="1" applyFont="1" applyBorder="1" applyAlignment="1" applyProtection="1">
      <alignment horizontal="center" vertical="center" shrinkToFit="1"/>
    </xf>
    <xf numFmtId="0" fontId="41" fillId="0" borderId="5" xfId="0" applyNumberFormat="1" applyFont="1" applyBorder="1" applyAlignment="1" applyProtection="1">
      <alignment horizontal="distributed" vertical="center" justifyLastLine="1"/>
    </xf>
    <xf numFmtId="0" fontId="41" fillId="0" borderId="6" xfId="0" applyNumberFormat="1" applyFont="1" applyBorder="1" applyAlignment="1" applyProtection="1">
      <alignment horizontal="distributed" vertical="center" justifyLastLine="1"/>
    </xf>
    <xf numFmtId="0" fontId="49" fillId="0" borderId="22" xfId="0" applyNumberFormat="1" applyFont="1" applyFill="1" applyBorder="1" applyAlignment="1" applyProtection="1">
      <alignment horizontal="center" vertical="center" shrinkToFit="1"/>
    </xf>
    <xf numFmtId="0" fontId="49" fillId="0" borderId="28" xfId="0" applyNumberFormat="1" applyFont="1" applyFill="1" applyBorder="1" applyAlignment="1" applyProtection="1">
      <alignment horizontal="center" vertical="center" shrinkToFit="1"/>
    </xf>
    <xf numFmtId="0" fontId="49" fillId="0" borderId="29" xfId="0" applyNumberFormat="1" applyFont="1" applyFill="1" applyBorder="1" applyAlignment="1" applyProtection="1">
      <alignment horizontal="center" vertical="center" shrinkToFit="1"/>
    </xf>
    <xf numFmtId="0" fontId="34" fillId="0" borderId="30" xfId="0" applyNumberFormat="1" applyFont="1" applyFill="1" applyBorder="1" applyAlignment="1" applyProtection="1">
      <alignment horizontal="center" vertical="center" shrinkToFit="1"/>
    </xf>
    <xf numFmtId="0" fontId="34" fillId="0" borderId="31" xfId="0" applyNumberFormat="1" applyFont="1" applyFill="1" applyBorder="1" applyAlignment="1" applyProtection="1">
      <alignment horizontal="center" vertical="center" shrinkToFit="1"/>
    </xf>
    <xf numFmtId="0" fontId="34" fillId="0" borderId="32" xfId="0" applyNumberFormat="1" applyFont="1" applyFill="1" applyBorder="1" applyAlignment="1" applyProtection="1">
      <alignment horizontal="center" vertical="center" shrinkToFit="1"/>
    </xf>
    <xf numFmtId="0" fontId="29" fillId="0" borderId="33" xfId="0" applyNumberFormat="1" applyFont="1" applyBorder="1" applyAlignment="1" applyProtection="1">
      <alignment horizontal="distributed" vertical="center" justifyLastLine="1" shrinkToFit="1"/>
    </xf>
    <xf numFmtId="0" fontId="29" fillId="0" borderId="34" xfId="0" applyNumberFormat="1" applyFont="1" applyBorder="1" applyAlignment="1" applyProtection="1">
      <alignment horizontal="distributed" vertical="center" justifyLastLine="1" shrinkToFit="1"/>
    </xf>
    <xf numFmtId="0" fontId="29" fillId="0" borderId="35" xfId="0" applyNumberFormat="1" applyFont="1" applyBorder="1" applyAlignment="1" applyProtection="1">
      <alignment horizontal="distributed" vertical="center" justifyLastLine="1" shrinkToFit="1"/>
    </xf>
    <xf numFmtId="0" fontId="40" fillId="0" borderId="36" xfId="0" applyNumberFormat="1" applyFont="1" applyBorder="1" applyAlignment="1" applyProtection="1">
      <alignment horizontal="distributed" vertical="center" justifyLastLine="1" shrinkToFit="1"/>
    </xf>
    <xf numFmtId="0" fontId="40" fillId="0" borderId="37" xfId="0" applyNumberFormat="1" applyFont="1" applyBorder="1" applyAlignment="1" applyProtection="1">
      <alignment horizontal="distributed" vertical="center" justifyLastLine="1" shrinkToFit="1"/>
    </xf>
    <xf numFmtId="0" fontId="40" fillId="0" borderId="38" xfId="0" applyNumberFormat="1" applyFont="1" applyBorder="1" applyAlignment="1" applyProtection="1">
      <alignment horizontal="distributed" vertical="center" justifyLastLine="1" shrinkToFit="1"/>
    </xf>
    <xf numFmtId="0" fontId="43" fillId="0" borderId="14" xfId="0" applyNumberFormat="1" applyFont="1" applyFill="1" applyBorder="1" applyAlignment="1" applyProtection="1">
      <alignment horizontal="center" vertical="center"/>
    </xf>
    <xf numFmtId="0" fontId="43" fillId="0" borderId="15" xfId="0" applyNumberFormat="1" applyFont="1" applyFill="1" applyBorder="1" applyAlignment="1" applyProtection="1">
      <alignment horizontal="center" vertical="center"/>
    </xf>
    <xf numFmtId="0" fontId="41" fillId="0" borderId="4" xfId="0" applyNumberFormat="1" applyFont="1" applyBorder="1" applyAlignment="1" applyProtection="1">
      <alignment horizontal="center" vertical="center"/>
    </xf>
    <xf numFmtId="0" fontId="34" fillId="0" borderId="21" xfId="0" applyNumberFormat="1" applyFont="1" applyFill="1" applyBorder="1" applyAlignment="1" applyProtection="1">
      <alignment horizontal="center" vertical="center" shrinkToFit="1"/>
    </xf>
    <xf numFmtId="0" fontId="34" fillId="0" borderId="39" xfId="0" applyNumberFormat="1" applyFont="1" applyFill="1" applyBorder="1" applyAlignment="1" applyProtection="1">
      <alignment horizontal="center" vertical="center" shrinkToFit="1"/>
    </xf>
    <xf numFmtId="0" fontId="40" fillId="0" borderId="7" xfId="0" applyNumberFormat="1" applyFont="1" applyFill="1" applyBorder="1" applyAlignment="1" applyProtection="1">
      <alignment horizontal="center" vertical="center" shrinkToFit="1"/>
    </xf>
    <xf numFmtId="0" fontId="40" fillId="0" borderId="1" xfId="0" applyNumberFormat="1" applyFont="1" applyFill="1" applyBorder="1" applyAlignment="1" applyProtection="1">
      <alignment horizontal="center" vertical="center" shrinkToFit="1"/>
    </xf>
    <xf numFmtId="0" fontId="40" fillId="0" borderId="8" xfId="0" applyNumberFormat="1" applyFont="1" applyFill="1" applyBorder="1" applyAlignment="1" applyProtection="1">
      <alignment horizontal="center" vertical="center" shrinkToFit="1"/>
    </xf>
    <xf numFmtId="0" fontId="40" fillId="0" borderId="40" xfId="0" applyNumberFormat="1" applyFont="1" applyBorder="1" applyAlignment="1" applyProtection="1">
      <alignment horizontal="center" vertical="center" shrinkToFit="1"/>
    </xf>
    <xf numFmtId="0" fontId="40" fillId="0" borderId="17" xfId="0" applyNumberFormat="1" applyFont="1" applyBorder="1" applyAlignment="1" applyProtection="1">
      <alignment horizontal="center" vertical="center" shrinkToFit="1"/>
    </xf>
    <xf numFmtId="0" fontId="40" fillId="0" borderId="7" xfId="0" applyNumberFormat="1" applyFont="1" applyBorder="1" applyAlignment="1" applyProtection="1">
      <alignment horizontal="center" vertical="center" shrinkToFit="1"/>
    </xf>
    <xf numFmtId="0" fontId="40" fillId="0" borderId="1" xfId="0" applyNumberFormat="1" applyFont="1" applyBorder="1" applyAlignment="1" applyProtection="1">
      <alignment horizontal="center" vertical="center" shrinkToFit="1"/>
    </xf>
    <xf numFmtId="0" fontId="40" fillId="0" borderId="8" xfId="0" applyNumberFormat="1" applyFont="1" applyBorder="1" applyAlignment="1" applyProtection="1">
      <alignment horizontal="center" vertical="center" shrinkToFit="1"/>
    </xf>
    <xf numFmtId="0" fontId="29" fillId="0" borderId="14" xfId="0" applyNumberFormat="1" applyFont="1" applyBorder="1" applyAlignment="1" applyProtection="1">
      <alignment horizontal="center" vertical="center" shrinkToFit="1"/>
    </xf>
    <xf numFmtId="0" fontId="29" fillId="0" borderId="4" xfId="0" applyNumberFormat="1" applyFont="1" applyBorder="1" applyAlignment="1" applyProtection="1">
      <alignment horizontal="center" vertical="center" shrinkToFit="1"/>
    </xf>
    <xf numFmtId="0" fontId="47" fillId="0" borderId="24" xfId="0" applyNumberFormat="1" applyFont="1" applyFill="1" applyBorder="1" applyAlignment="1" applyProtection="1">
      <alignment horizontal="center" vertical="center" wrapText="1"/>
    </xf>
    <xf numFmtId="0" fontId="48" fillId="0" borderId="25" xfId="0" applyNumberFormat="1" applyFont="1" applyBorder="1" applyAlignment="1" applyProtection="1">
      <alignment horizontal="center" vertical="center" wrapText="1"/>
    </xf>
    <xf numFmtId="0" fontId="47" fillId="0" borderId="5" xfId="0" applyNumberFormat="1" applyFont="1" applyFill="1" applyBorder="1" applyAlignment="1" applyProtection="1">
      <alignment horizontal="center" vertical="center" wrapText="1"/>
    </xf>
    <xf numFmtId="0" fontId="48" fillId="0" borderId="6" xfId="0" applyNumberFormat="1" applyFont="1" applyBorder="1" applyAlignment="1" applyProtection="1">
      <alignment horizontal="center" vertical="center" wrapText="1"/>
    </xf>
    <xf numFmtId="0" fontId="48" fillId="0" borderId="16" xfId="0" applyNumberFormat="1" applyFont="1" applyBorder="1" applyAlignment="1" applyProtection="1">
      <alignment horizontal="center" vertical="center" wrapText="1"/>
    </xf>
    <xf numFmtId="0" fontId="48" fillId="0" borderId="26" xfId="0" applyNumberFormat="1" applyFont="1" applyBorder="1" applyAlignment="1" applyProtection="1">
      <alignment horizontal="center" vertical="center" wrapText="1"/>
    </xf>
    <xf numFmtId="0" fontId="41" fillId="0" borderId="14" xfId="0" applyNumberFormat="1" applyFont="1" applyBorder="1" applyAlignment="1" applyProtection="1">
      <alignment horizontal="center" vertical="center"/>
    </xf>
    <xf numFmtId="0" fontId="42" fillId="0" borderId="0" xfId="0" applyNumberFormat="1" applyFont="1" applyFill="1" applyAlignment="1" applyProtection="1">
      <alignment horizontal="center" vertical="center" shrinkToFit="1"/>
    </xf>
    <xf numFmtId="0" fontId="44" fillId="6" borderId="0" xfId="0" applyNumberFormat="1" applyFont="1" applyFill="1" applyAlignment="1" applyProtection="1">
      <alignment horizontal="distributed" vertical="center" indent="10" shrinkToFit="1"/>
    </xf>
    <xf numFmtId="0" fontId="45" fillId="6" borderId="0" xfId="0" applyNumberFormat="1" applyFont="1" applyFill="1" applyAlignment="1" applyProtection="1">
      <alignment horizontal="distributed" vertical="center" indent="10" shrinkToFit="1"/>
    </xf>
    <xf numFmtId="0" fontId="43" fillId="0" borderId="16" xfId="0" applyNumberFormat="1" applyFont="1" applyFill="1" applyBorder="1" applyAlignment="1" applyProtection="1">
      <alignment horizontal="distributed" vertical="center" justifyLastLine="1"/>
    </xf>
    <xf numFmtId="0" fontId="43" fillId="0" borderId="26" xfId="0" applyNumberFormat="1" applyFont="1" applyFill="1" applyBorder="1" applyAlignment="1" applyProtection="1">
      <alignment horizontal="distributed" vertical="center" justifyLastLine="1"/>
    </xf>
    <xf numFmtId="0" fontId="42" fillId="0" borderId="7" xfId="0" applyNumberFormat="1" applyFont="1" applyBorder="1" applyAlignment="1" applyProtection="1">
      <alignment horizontal="center" vertical="center" shrinkToFit="1"/>
    </xf>
    <xf numFmtId="0" fontId="42" fillId="0" borderId="1" xfId="0" applyNumberFormat="1" applyFont="1" applyBorder="1" applyAlignment="1" applyProtection="1">
      <alignment horizontal="center" vertical="center" shrinkToFit="1"/>
    </xf>
    <xf numFmtId="0" fontId="40" fillId="0" borderId="7" xfId="0" applyNumberFormat="1" applyFont="1" applyFill="1" applyBorder="1" applyAlignment="1" applyProtection="1">
      <alignment horizontal="distributed" vertical="center" justifyLastLine="1"/>
    </xf>
    <xf numFmtId="0" fontId="40" fillId="0" borderId="1" xfId="0" applyNumberFormat="1" applyFont="1" applyBorder="1" applyAlignment="1" applyProtection="1">
      <alignment horizontal="distributed" vertical="center" justifyLastLine="1"/>
    </xf>
    <xf numFmtId="0" fontId="43" fillId="0" borderId="7" xfId="0" applyNumberFormat="1" applyFont="1" applyFill="1" applyBorder="1" applyAlignment="1" applyProtection="1">
      <alignment horizontal="distributed" vertical="center" justifyLastLine="1"/>
    </xf>
    <xf numFmtId="0" fontId="43" fillId="0" borderId="8" xfId="0" applyNumberFormat="1" applyFont="1" applyFill="1" applyBorder="1" applyAlignment="1" applyProtection="1">
      <alignment horizontal="distributed" vertical="center" justifyLastLine="1"/>
    </xf>
    <xf numFmtId="0" fontId="43" fillId="0" borderId="1" xfId="0" applyNumberFormat="1" applyFont="1" applyFill="1" applyBorder="1" applyAlignment="1" applyProtection="1">
      <alignment horizontal="center" vertical="center" justifyLastLine="1"/>
    </xf>
    <xf numFmtId="0" fontId="43" fillId="0" borderId="8" xfId="0" applyNumberFormat="1" applyFont="1" applyFill="1" applyBorder="1" applyAlignment="1" applyProtection="1">
      <alignment horizontal="center" vertical="center" justifyLastLine="1"/>
    </xf>
    <xf numFmtId="0" fontId="43" fillId="0" borderId="2" xfId="0" applyNumberFormat="1" applyFont="1" applyFill="1" applyBorder="1" applyAlignment="1" applyProtection="1">
      <alignment horizontal="distributed" vertical="center" justifyLastLine="1"/>
    </xf>
    <xf numFmtId="0" fontId="43" fillId="0" borderId="33" xfId="0" applyNumberFormat="1" applyFont="1" applyFill="1" applyBorder="1" applyAlignment="1" applyProtection="1">
      <alignment horizontal="center" vertical="center" shrinkToFit="1"/>
    </xf>
    <xf numFmtId="0" fontId="43" fillId="0" borderId="35" xfId="0" applyNumberFormat="1" applyFont="1" applyFill="1" applyBorder="1" applyAlignment="1" applyProtection="1">
      <alignment horizontal="center" vertical="center" shrinkToFit="1"/>
    </xf>
    <xf numFmtId="0" fontId="41" fillId="0" borderId="1" xfId="0" applyNumberFormat="1" applyFont="1" applyFill="1" applyBorder="1" applyAlignment="1" applyProtection="1">
      <alignment horizontal="left" vertical="center"/>
    </xf>
    <xf numFmtId="0" fontId="41" fillId="0" borderId="1" xfId="0" applyNumberFormat="1" applyFont="1" applyBorder="1" applyAlignment="1" applyProtection="1">
      <alignment horizontal="left" vertical="center"/>
    </xf>
    <xf numFmtId="0" fontId="41" fillId="0" borderId="8" xfId="0" applyNumberFormat="1" applyFont="1" applyBorder="1" applyAlignment="1" applyProtection="1">
      <alignment horizontal="left" vertical="center"/>
    </xf>
    <xf numFmtId="0" fontId="46" fillId="0" borderId="7" xfId="0" applyNumberFormat="1" applyFont="1" applyFill="1" applyBorder="1" applyAlignment="1" applyProtection="1">
      <alignment horizontal="distributed" vertical="center" justifyLastLine="1"/>
    </xf>
    <xf numFmtId="0" fontId="46" fillId="0" borderId="1" xfId="0" applyNumberFormat="1" applyFont="1" applyFill="1" applyBorder="1" applyAlignment="1" applyProtection="1">
      <alignment horizontal="distributed" vertical="center" justifyLastLine="1"/>
    </xf>
    <xf numFmtId="0" fontId="43" fillId="0" borderId="15" xfId="0" applyNumberFormat="1" applyFont="1" applyFill="1" applyBorder="1" applyAlignment="1" applyProtection="1">
      <alignment horizontal="distributed" vertical="center" justifyLastLine="1"/>
    </xf>
    <xf numFmtId="0" fontId="43" fillId="0" borderId="4" xfId="0" applyNumberFormat="1" applyFont="1" applyFill="1" applyBorder="1" applyAlignment="1" applyProtection="1">
      <alignment horizontal="distributed" vertical="center" justifyLastLine="1"/>
    </xf>
    <xf numFmtId="0" fontId="43" fillId="0" borderId="41" xfId="0" applyNumberFormat="1" applyFont="1" applyFill="1" applyBorder="1" applyAlignment="1" applyProtection="1">
      <alignment horizontal="center" vertical="center"/>
    </xf>
    <xf numFmtId="0" fontId="41" fillId="0" borderId="26" xfId="0" applyNumberFormat="1" applyFont="1" applyBorder="1" applyAlignment="1" applyProtection="1">
      <alignment horizontal="center" vertical="center"/>
    </xf>
    <xf numFmtId="0" fontId="43" fillId="0" borderId="22" xfId="0" applyNumberFormat="1" applyFont="1" applyFill="1" applyBorder="1" applyAlignment="1" applyProtection="1">
      <alignment horizontal="distributed" vertical="center" indent="6"/>
    </xf>
    <xf numFmtId="0" fontId="43" fillId="0" borderId="28" xfId="0" applyNumberFormat="1" applyFont="1" applyFill="1" applyBorder="1" applyAlignment="1" applyProtection="1">
      <alignment horizontal="distributed" vertical="center" indent="6"/>
    </xf>
    <xf numFmtId="0" fontId="43" fillId="0" borderId="27" xfId="0" applyNumberFormat="1" applyFont="1" applyFill="1" applyBorder="1" applyAlignment="1" applyProtection="1">
      <alignment horizontal="distributed" vertical="center" indent="6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41" fillId="0" borderId="17" xfId="0" applyNumberFormat="1" applyFont="1" applyBorder="1" applyAlignment="1" applyProtection="1">
      <alignment horizontal="center" vertical="center"/>
    </xf>
    <xf numFmtId="0" fontId="50" fillId="0" borderId="0" xfId="0" applyFont="1" applyFill="1" applyAlignment="1" applyProtection="1">
      <alignment vertical="center" wrapText="1"/>
    </xf>
    <xf numFmtId="0" fontId="50" fillId="0" borderId="0" xfId="0" applyFont="1" applyFill="1" applyAlignment="1" applyProtection="1">
      <alignment vertical="center"/>
    </xf>
    <xf numFmtId="0" fontId="51" fillId="0" borderId="0" xfId="0" applyFont="1" applyFill="1" applyAlignment="1" applyProtection="1">
      <alignment horizontal="right" vertical="center"/>
    </xf>
    <xf numFmtId="0" fontId="50" fillId="0" borderId="0" xfId="0" applyFont="1" applyFill="1" applyAlignment="1" applyProtection="1">
      <alignment horizontal="right" vertical="center"/>
    </xf>
    <xf numFmtId="0" fontId="42" fillId="0" borderId="0" xfId="0" applyFont="1" applyFill="1" applyAlignment="1" applyProtection="1">
      <alignment horizontal="center" vertical="center" shrinkToFit="1"/>
    </xf>
    <xf numFmtId="0" fontId="44" fillId="7" borderId="0" xfId="0" applyFont="1" applyFill="1" applyAlignment="1" applyProtection="1">
      <alignment horizontal="distributed" vertical="center" indent="10" shrinkToFit="1"/>
    </xf>
    <xf numFmtId="0" fontId="45" fillId="7" borderId="0" xfId="0" applyFont="1" applyFill="1" applyAlignment="1" applyProtection="1">
      <alignment horizontal="distributed" vertical="center" indent="10" shrinkToFit="1"/>
    </xf>
    <xf numFmtId="0" fontId="43" fillId="0" borderId="2" xfId="0" applyFont="1" applyFill="1" applyBorder="1" applyAlignment="1" applyProtection="1">
      <alignment horizontal="distributed" vertical="center" justifyLastLine="1"/>
    </xf>
    <xf numFmtId="0" fontId="43" fillId="0" borderId="7" xfId="0" applyFont="1" applyFill="1" applyBorder="1" applyAlignment="1" applyProtection="1">
      <alignment horizontal="distributed" vertical="center" justifyLastLine="1"/>
    </xf>
    <xf numFmtId="0" fontId="43" fillId="0" borderId="8" xfId="0" applyFont="1" applyFill="1" applyBorder="1" applyAlignment="1" applyProtection="1">
      <alignment horizontal="distributed" vertical="center" justifyLastLine="1"/>
    </xf>
    <xf numFmtId="0" fontId="43" fillId="0" borderId="1" xfId="0" applyFont="1" applyFill="1" applyBorder="1" applyAlignment="1" applyProtection="1">
      <alignment horizontal="center" vertical="center" justifyLastLine="1"/>
    </xf>
    <xf numFmtId="0" fontId="43" fillId="0" borderId="8" xfId="0" applyFont="1" applyFill="1" applyBorder="1" applyAlignment="1" applyProtection="1">
      <alignment horizontal="center" vertical="center" justifyLastLine="1"/>
    </xf>
    <xf numFmtId="0" fontId="40" fillId="0" borderId="7" xfId="0" applyFont="1" applyBorder="1" applyAlignment="1" applyProtection="1">
      <alignment horizontal="center" vertical="center"/>
    </xf>
    <xf numFmtId="0" fontId="40" fillId="0" borderId="1" xfId="0" applyFont="1" applyBorder="1" applyAlignment="1" applyProtection="1">
      <alignment horizontal="center" vertical="center"/>
    </xf>
    <xf numFmtId="0" fontId="42" fillId="0" borderId="7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33" xfId="0" applyFont="1" applyFill="1" applyBorder="1" applyAlignment="1" applyProtection="1">
      <alignment horizontal="center" vertical="center" shrinkToFit="1"/>
    </xf>
    <xf numFmtId="0" fontId="43" fillId="0" borderId="35" xfId="0" applyFont="1" applyFill="1" applyBorder="1" applyAlignment="1" applyProtection="1">
      <alignment horizontal="center" vertical="center" shrinkToFit="1"/>
    </xf>
    <xf numFmtId="0" fontId="43" fillId="0" borderId="16" xfId="0" applyFont="1" applyFill="1" applyBorder="1" applyAlignment="1" applyProtection="1">
      <alignment horizontal="distributed" vertical="center" justifyLastLine="1"/>
    </xf>
    <xf numFmtId="0" fontId="43" fillId="0" borderId="26" xfId="0" applyFont="1" applyFill="1" applyBorder="1" applyAlignment="1" applyProtection="1">
      <alignment horizontal="distributed" vertical="center" justifyLastLine="1"/>
    </xf>
    <xf numFmtId="0" fontId="43" fillId="0" borderId="24" xfId="0" applyFont="1" applyFill="1" applyBorder="1" applyAlignment="1" applyProtection="1">
      <alignment horizontal="distributed" vertical="center" justifyLastLine="1"/>
    </xf>
    <xf numFmtId="0" fontId="41" fillId="0" borderId="25" xfId="0" applyFont="1" applyBorder="1" applyAlignment="1" applyProtection="1">
      <alignment horizontal="distributed" vertical="center" justifyLastLine="1"/>
    </xf>
    <xf numFmtId="0" fontId="41" fillId="0" borderId="16" xfId="0" applyFont="1" applyBorder="1" applyAlignment="1" applyProtection="1">
      <alignment horizontal="distributed" vertical="center" justifyLastLine="1"/>
    </xf>
    <xf numFmtId="0" fontId="41" fillId="0" borderId="26" xfId="0" applyFont="1" applyBorder="1" applyAlignment="1" applyProtection="1">
      <alignment horizontal="distributed" vertical="center" justifyLastLine="1"/>
    </xf>
    <xf numFmtId="0" fontId="41" fillId="0" borderId="5" xfId="0" applyFont="1" applyBorder="1" applyAlignment="1" applyProtection="1">
      <alignment horizontal="distributed" vertical="center" justifyLastLine="1"/>
    </xf>
    <xf numFmtId="0" fontId="41" fillId="0" borderId="6" xfId="0" applyFont="1" applyBorder="1" applyAlignment="1" applyProtection="1">
      <alignment horizontal="distributed" vertical="center" justifyLastLine="1"/>
    </xf>
    <xf numFmtId="0" fontId="40" fillId="0" borderId="24" xfId="0" applyFont="1" applyBorder="1" applyAlignment="1" applyProtection="1">
      <alignment horizontal="center" vertical="center"/>
    </xf>
    <xf numFmtId="0" fontId="40" fillId="0" borderId="40" xfId="0" applyFont="1" applyBorder="1" applyAlignment="1" applyProtection="1">
      <alignment horizontal="center" vertical="center"/>
    </xf>
    <xf numFmtId="0" fontId="40" fillId="0" borderId="25" xfId="0" applyFont="1" applyBorder="1" applyAlignment="1" applyProtection="1">
      <alignment horizontal="center" vertical="center"/>
    </xf>
    <xf numFmtId="0" fontId="40" fillId="0" borderId="16" xfId="0" applyFont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horizontal="center" vertical="center"/>
    </xf>
    <xf numFmtId="0" fontId="40" fillId="0" borderId="26" xfId="0" applyFont="1" applyBorder="1" applyAlignment="1" applyProtection="1">
      <alignment horizontal="center" vertical="center"/>
    </xf>
    <xf numFmtId="0" fontId="43" fillId="0" borderId="14" xfId="0" applyFont="1" applyFill="1" applyBorder="1" applyAlignment="1" applyProtection="1">
      <alignment horizontal="distributed" vertical="center" justifyLastLine="1"/>
    </xf>
    <xf numFmtId="0" fontId="43" fillId="0" borderId="15" xfId="0" applyFont="1" applyFill="1" applyBorder="1" applyAlignment="1" applyProtection="1">
      <alignment horizontal="distributed" vertical="center" justifyLastLine="1"/>
    </xf>
    <xf numFmtId="0" fontId="43" fillId="0" borderId="4" xfId="0" applyFont="1" applyFill="1" applyBorder="1" applyAlignment="1" applyProtection="1">
      <alignment horizontal="distributed" vertical="center" justifyLastLine="1"/>
    </xf>
    <xf numFmtId="0" fontId="43" fillId="0" borderId="7" xfId="0" applyFont="1" applyFill="1" applyBorder="1" applyAlignment="1" applyProtection="1">
      <alignment horizontal="center" vertical="center"/>
    </xf>
    <xf numFmtId="0" fontId="43" fillId="0" borderId="1" xfId="0" applyFont="1" applyFill="1" applyBorder="1" applyAlignment="1" applyProtection="1">
      <alignment horizontal="center" vertical="center"/>
    </xf>
    <xf numFmtId="0" fontId="43" fillId="0" borderId="8" xfId="0" applyFont="1" applyFill="1" applyBorder="1" applyAlignment="1" applyProtection="1">
      <alignment horizontal="center" vertical="center"/>
    </xf>
    <xf numFmtId="0" fontId="43" fillId="0" borderId="14" xfId="0" applyFont="1" applyFill="1" applyBorder="1" applyAlignment="1" applyProtection="1">
      <alignment horizontal="center" vertical="center"/>
    </xf>
    <xf numFmtId="0" fontId="43" fillId="0" borderId="15" xfId="0" applyFont="1" applyFill="1" applyBorder="1" applyAlignment="1" applyProtection="1">
      <alignment horizontal="center" vertical="center"/>
    </xf>
    <xf numFmtId="0" fontId="41" fillId="0" borderId="4" xfId="0" applyFont="1" applyBorder="1" applyAlignment="1" applyProtection="1">
      <alignment horizontal="center" vertical="center"/>
    </xf>
    <xf numFmtId="0" fontId="34" fillId="0" borderId="30" xfId="0" applyFont="1" applyFill="1" applyBorder="1" applyAlignment="1" applyProtection="1">
      <alignment horizontal="center" vertical="center" shrinkToFit="1"/>
    </xf>
    <xf numFmtId="0" fontId="34" fillId="0" borderId="31" xfId="0" applyFont="1" applyFill="1" applyBorder="1" applyAlignment="1" applyProtection="1">
      <alignment horizontal="center" vertical="center" shrinkToFit="1"/>
    </xf>
    <xf numFmtId="0" fontId="34" fillId="0" borderId="32" xfId="0" applyFont="1" applyFill="1" applyBorder="1" applyAlignment="1" applyProtection="1">
      <alignment horizontal="center" vertical="center" shrinkToFit="1"/>
    </xf>
    <xf numFmtId="0" fontId="34" fillId="0" borderId="21" xfId="0" applyFont="1" applyFill="1" applyBorder="1" applyAlignment="1" applyProtection="1">
      <alignment horizontal="center" vertical="center" shrinkToFit="1"/>
    </xf>
    <xf numFmtId="0" fontId="34" fillId="0" borderId="39" xfId="0" applyFont="1" applyFill="1" applyBorder="1" applyAlignment="1" applyProtection="1">
      <alignment horizontal="center" vertical="center" shrinkToFit="1"/>
    </xf>
    <xf numFmtId="0" fontId="47" fillId="0" borderId="24" xfId="0" applyFont="1" applyFill="1" applyBorder="1" applyAlignment="1" applyProtection="1">
      <alignment horizontal="center" vertical="center" wrapText="1"/>
    </xf>
    <xf numFmtId="0" fontId="48" fillId="0" borderId="25" xfId="0" applyFont="1" applyBorder="1" applyAlignment="1" applyProtection="1">
      <alignment horizontal="center" vertical="center" wrapText="1"/>
    </xf>
    <xf numFmtId="0" fontId="47" fillId="0" borderId="5" xfId="0" applyFont="1" applyFill="1" applyBorder="1" applyAlignment="1" applyProtection="1">
      <alignment horizontal="center" vertical="center" wrapText="1"/>
    </xf>
    <xf numFmtId="0" fontId="48" fillId="0" borderId="6" xfId="0" applyFont="1" applyBorder="1" applyAlignment="1" applyProtection="1">
      <alignment horizontal="center" vertical="center" wrapText="1"/>
    </xf>
    <xf numFmtId="0" fontId="48" fillId="0" borderId="5" xfId="0" applyFont="1" applyBorder="1" applyAlignment="1" applyProtection="1">
      <alignment horizontal="center" vertical="center" wrapText="1"/>
    </xf>
    <xf numFmtId="0" fontId="43" fillId="0" borderId="22" xfId="0" applyFont="1" applyFill="1" applyBorder="1" applyAlignment="1" applyProtection="1">
      <alignment horizontal="distributed" vertical="center" indent="6"/>
    </xf>
    <xf numFmtId="0" fontId="43" fillId="0" borderId="28" xfId="0" applyFont="1" applyFill="1" applyBorder="1" applyAlignment="1" applyProtection="1">
      <alignment horizontal="distributed" vertical="center" indent="6"/>
    </xf>
    <xf numFmtId="0" fontId="43" fillId="0" borderId="27" xfId="0" applyFont="1" applyFill="1" applyBorder="1" applyAlignment="1" applyProtection="1">
      <alignment horizontal="distributed" vertical="center" indent="6"/>
    </xf>
    <xf numFmtId="0" fontId="43" fillId="0" borderId="16" xfId="0" applyFont="1" applyFill="1" applyBorder="1" applyAlignment="1" applyProtection="1">
      <alignment horizontal="center" vertical="center"/>
    </xf>
    <xf numFmtId="0" fontId="41" fillId="0" borderId="17" xfId="0" applyFont="1" applyBorder="1" applyAlignment="1" applyProtection="1">
      <alignment horizontal="center" vertical="center"/>
    </xf>
    <xf numFmtId="0" fontId="43" fillId="0" borderId="41" xfId="0" applyFont="1" applyFill="1" applyBorder="1" applyAlignment="1" applyProtection="1">
      <alignment horizontal="center" vertical="center"/>
    </xf>
    <xf numFmtId="0" fontId="41" fillId="0" borderId="26" xfId="0" applyFont="1" applyBorder="1" applyAlignment="1" applyProtection="1">
      <alignment horizontal="center" vertical="center"/>
    </xf>
    <xf numFmtId="0" fontId="46" fillId="0" borderId="2" xfId="0" applyFont="1" applyBorder="1" applyAlignment="1" applyProtection="1">
      <alignment horizontal="center" vertical="center"/>
    </xf>
    <xf numFmtId="0" fontId="40" fillId="0" borderId="2" xfId="0" applyFont="1" applyBorder="1" applyAlignment="1" applyProtection="1">
      <alignment horizontal="center" vertical="center"/>
    </xf>
    <xf numFmtId="0" fontId="49" fillId="0" borderId="22" xfId="0" applyFont="1" applyFill="1" applyBorder="1" applyAlignment="1" applyProtection="1">
      <alignment horizontal="center" vertical="center" shrinkToFit="1"/>
    </xf>
    <xf numFmtId="0" fontId="49" fillId="0" borderId="28" xfId="0" applyFont="1" applyFill="1" applyBorder="1" applyAlignment="1" applyProtection="1">
      <alignment horizontal="center" vertical="center" shrinkToFit="1"/>
    </xf>
    <xf numFmtId="0" fontId="49" fillId="0" borderId="29" xfId="0" applyFont="1" applyFill="1" applyBorder="1" applyAlignment="1" applyProtection="1">
      <alignment horizontal="center" vertical="center" shrinkToFit="1"/>
    </xf>
    <xf numFmtId="0" fontId="49" fillId="0" borderId="19" xfId="0" applyFont="1" applyFill="1" applyBorder="1" applyAlignment="1" applyProtection="1">
      <alignment horizontal="center" vertical="center" shrinkToFit="1"/>
    </xf>
    <xf numFmtId="0" fontId="49" fillId="0" borderId="27" xfId="0" applyFont="1" applyFill="1" applyBorder="1" applyAlignment="1" applyProtection="1">
      <alignment horizontal="center" vertical="center" shrinkToFit="1"/>
    </xf>
    <xf numFmtId="0" fontId="50" fillId="0" borderId="0" xfId="0" applyNumberFormat="1" applyFont="1" applyFill="1" applyAlignment="1" applyProtection="1">
      <alignment horizontal="left" vertical="center" wrapText="1"/>
    </xf>
    <xf numFmtId="0" fontId="46" fillId="0" borderId="24" xfId="0" applyFont="1" applyBorder="1" applyAlignment="1" applyProtection="1">
      <alignment horizontal="center" vertical="center" wrapText="1"/>
    </xf>
    <xf numFmtId="0" fontId="46" fillId="0" borderId="25" xfId="0" applyFont="1" applyBorder="1" applyAlignment="1" applyProtection="1">
      <alignment horizontal="center" vertical="center" wrapText="1"/>
    </xf>
    <xf numFmtId="0" fontId="46" fillId="0" borderId="16" xfId="0" applyFont="1" applyBorder="1" applyAlignment="1" applyProtection="1">
      <alignment horizontal="center" vertical="center" wrapText="1"/>
    </xf>
    <xf numFmtId="0" fontId="46" fillId="0" borderId="26" xfId="0" applyFont="1" applyBorder="1" applyAlignment="1" applyProtection="1">
      <alignment horizontal="center" vertical="center" wrapText="1"/>
    </xf>
    <xf numFmtId="0" fontId="46" fillId="0" borderId="14" xfId="0" applyNumberFormat="1" applyFont="1" applyBorder="1" applyAlignment="1" applyProtection="1">
      <alignment horizontal="center" vertical="center"/>
    </xf>
    <xf numFmtId="0" fontId="46" fillId="0" borderId="4" xfId="0" applyNumberFormat="1" applyFont="1" applyBorder="1" applyAlignment="1" applyProtection="1">
      <alignment horizontal="center" vertical="center"/>
    </xf>
    <xf numFmtId="0" fontId="43" fillId="0" borderId="16" xfId="0" applyFont="1" applyFill="1" applyBorder="1" applyAlignment="1" applyProtection="1">
      <alignment horizontal="distributed" vertical="center"/>
    </xf>
    <xf numFmtId="0" fontId="43" fillId="0" borderId="17" xfId="0" applyFont="1" applyFill="1" applyBorder="1" applyAlignment="1" applyProtection="1">
      <alignment horizontal="distributed" vertical="center"/>
    </xf>
    <xf numFmtId="0" fontId="41" fillId="0" borderId="17" xfId="0" applyFont="1" applyBorder="1" applyAlignment="1" applyProtection="1"/>
    <xf numFmtId="0" fontId="39" fillId="0" borderId="33" xfId="0" applyFont="1" applyFill="1" applyBorder="1" applyAlignment="1" applyProtection="1">
      <alignment horizontal="distributed" vertical="center" justifyLastLine="1" shrinkToFit="1"/>
    </xf>
    <xf numFmtId="0" fontId="39" fillId="0" borderId="34" xfId="0" applyFont="1" applyFill="1" applyBorder="1" applyAlignment="1" applyProtection="1">
      <alignment horizontal="distributed" vertical="center" justifyLastLine="1" shrinkToFit="1"/>
    </xf>
    <xf numFmtId="0" fontId="39" fillId="0" borderId="35" xfId="0" applyFont="1" applyFill="1" applyBorder="1" applyAlignment="1" applyProtection="1">
      <alignment horizontal="distributed" vertical="center" justifyLastLine="1" shrinkToFit="1"/>
    </xf>
    <xf numFmtId="0" fontId="46" fillId="0" borderId="7" xfId="0" applyFont="1" applyFill="1" applyBorder="1" applyAlignment="1" applyProtection="1">
      <alignment horizontal="distributed" vertical="center" justifyLastLine="1"/>
    </xf>
    <xf numFmtId="0" fontId="46" fillId="0" borderId="1" xfId="0" applyFont="1" applyFill="1" applyBorder="1" applyAlignment="1" applyProtection="1">
      <alignment horizontal="distributed" vertical="center" justifyLastLine="1"/>
    </xf>
    <xf numFmtId="0" fontId="46" fillId="0" borderId="14" xfId="0" applyFont="1" applyBorder="1" applyAlignment="1" applyProtection="1">
      <alignment horizontal="center" vertical="center"/>
    </xf>
    <xf numFmtId="0" fontId="46" fillId="0" borderId="4" xfId="0" applyFont="1" applyBorder="1" applyAlignment="1" applyProtection="1">
      <alignment horizontal="center" vertical="center"/>
    </xf>
    <xf numFmtId="0" fontId="42" fillId="0" borderId="21" xfId="0" applyFont="1" applyBorder="1" applyAlignment="1" applyProtection="1">
      <alignment horizontal="center" vertical="center" shrinkToFit="1"/>
    </xf>
    <xf numFmtId="0" fontId="42" fillId="0" borderId="39" xfId="0" applyFont="1" applyBorder="1" applyAlignment="1" applyProtection="1">
      <alignment horizontal="center" vertical="center" shrinkToFit="1"/>
    </xf>
    <xf numFmtId="0" fontId="45" fillId="0" borderId="36" xfId="0" applyFont="1" applyFill="1" applyBorder="1" applyAlignment="1" applyProtection="1">
      <alignment horizontal="distributed" vertical="center" justifyLastLine="1"/>
    </xf>
    <xf numFmtId="0" fontId="45" fillId="0" borderId="37" xfId="0" applyFont="1" applyFill="1" applyBorder="1" applyAlignment="1" applyProtection="1">
      <alignment horizontal="distributed" vertical="center" justifyLastLine="1"/>
    </xf>
    <xf numFmtId="0" fontId="45" fillId="0" borderId="38" xfId="0" applyFont="1" applyFill="1" applyBorder="1" applyAlignment="1" applyProtection="1">
      <alignment horizontal="distributed" vertical="center" justifyLastLine="1"/>
    </xf>
    <xf numFmtId="0" fontId="34" fillId="0" borderId="7" xfId="0" applyFont="1" applyBorder="1" applyAlignment="1" applyProtection="1">
      <alignment horizontal="distributed" vertical="center" justifyLastLine="1"/>
    </xf>
    <xf numFmtId="0" fontId="34" fillId="0" borderId="1" xfId="0" applyFont="1" applyBorder="1" applyAlignment="1" applyProtection="1">
      <alignment horizontal="distributed" vertical="center" justifyLastLine="1"/>
    </xf>
    <xf numFmtId="0" fontId="46" fillId="0" borderId="7" xfId="0" applyFont="1" applyBorder="1" applyAlignment="1" applyProtection="1">
      <alignment horizontal="center" vertical="center" shrinkToFit="1"/>
    </xf>
    <xf numFmtId="0" fontId="46" fillId="0" borderId="1" xfId="0" applyFont="1" applyBorder="1" applyAlignment="1" applyProtection="1">
      <alignment horizontal="center" vertical="center" shrinkToFit="1"/>
    </xf>
    <xf numFmtId="0" fontId="46" fillId="0" borderId="8" xfId="0" applyFont="1" applyBorder="1" applyAlignment="1" applyProtection="1">
      <alignment horizontal="center" vertical="center" shrinkToFit="1"/>
    </xf>
    <xf numFmtId="0" fontId="53" fillId="0" borderId="19" xfId="0" applyFont="1" applyBorder="1" applyAlignment="1" applyProtection="1">
      <alignment horizontal="center" vertical="center" shrinkToFit="1"/>
    </xf>
    <xf numFmtId="0" fontId="53" fillId="0" borderId="27" xfId="0" applyFont="1" applyBorder="1" applyAlignment="1" applyProtection="1">
      <alignment horizontal="center" vertical="center" shrinkToFit="1"/>
    </xf>
    <xf numFmtId="0" fontId="46" fillId="0" borderId="24" xfId="0" applyFont="1" applyBorder="1" applyAlignment="1" applyProtection="1">
      <alignment horizontal="center" vertical="center" shrinkToFit="1"/>
    </xf>
    <xf numFmtId="0" fontId="46" fillId="0" borderId="25" xfId="0" applyFont="1" applyBorder="1" applyAlignment="1" applyProtection="1">
      <alignment horizontal="center" vertical="center" shrinkToFit="1"/>
    </xf>
    <xf numFmtId="0" fontId="46" fillId="0" borderId="16" xfId="0" applyFont="1" applyBorder="1" applyAlignment="1" applyProtection="1">
      <alignment horizontal="center" vertical="center" shrinkToFit="1"/>
    </xf>
    <xf numFmtId="0" fontId="46" fillId="0" borderId="26" xfId="0" applyFont="1" applyBorder="1" applyAlignment="1" applyProtection="1">
      <alignment horizontal="center" vertical="center" shrinkToFit="1"/>
    </xf>
    <xf numFmtId="0" fontId="41" fillId="0" borderId="40" xfId="0" applyFont="1" applyFill="1" applyBorder="1" applyAlignment="1" applyProtection="1">
      <alignment horizontal="center"/>
    </xf>
    <xf numFmtId="0" fontId="42" fillId="0" borderId="30" xfId="0" applyFont="1" applyBorder="1" applyAlignment="1" applyProtection="1">
      <alignment horizontal="center" vertical="center" shrinkToFit="1"/>
    </xf>
    <xf numFmtId="0" fontId="42" fillId="0" borderId="32" xfId="0" applyFont="1" applyBorder="1" applyAlignment="1" applyProtection="1">
      <alignment horizontal="center" vertical="center" shrinkToFit="1"/>
    </xf>
    <xf numFmtId="0" fontId="53" fillId="0" borderId="22" xfId="0" applyFont="1" applyFill="1" applyBorder="1" applyAlignment="1" applyProtection="1">
      <alignment horizontal="center" vertical="center" shrinkToFit="1"/>
    </xf>
    <xf numFmtId="0" fontId="53" fillId="0" borderId="29" xfId="0" applyFont="1" applyFill="1" applyBorder="1" applyAlignment="1" applyProtection="1">
      <alignment horizontal="center" vertical="center" shrinkToFit="1"/>
    </xf>
    <xf numFmtId="0" fontId="43" fillId="0" borderId="4" xfId="0" applyFont="1" applyFill="1" applyBorder="1" applyAlignment="1" applyProtection="1">
      <alignment horizontal="center" vertical="center"/>
    </xf>
    <xf numFmtId="0" fontId="43" fillId="0" borderId="16" xfId="0" applyFont="1" applyBorder="1" applyAlignment="1" applyProtection="1">
      <alignment horizontal="center" vertical="center"/>
    </xf>
    <xf numFmtId="0" fontId="41" fillId="0" borderId="28" xfId="0" applyFont="1" applyBorder="1" applyAlignment="1" applyProtection="1">
      <alignment horizontal="distributed" vertical="center" indent="6"/>
    </xf>
    <xf numFmtId="0" fontId="41" fillId="0" borderId="27" xfId="0" applyFont="1" applyBorder="1" applyAlignment="1" applyProtection="1">
      <alignment horizontal="distributed" vertical="center" indent="6"/>
    </xf>
    <xf numFmtId="0" fontId="29" fillId="0" borderId="14" xfId="0" applyFont="1" applyBorder="1" applyAlignment="1" applyProtection="1">
      <alignment horizontal="center" vertical="center" shrinkToFit="1"/>
    </xf>
    <xf numFmtId="0" fontId="41" fillId="0" borderId="4" xfId="0" applyFont="1" applyBorder="1" applyAlignment="1" applyProtection="1">
      <alignment vertical="center"/>
    </xf>
    <xf numFmtId="0" fontId="43" fillId="0" borderId="42" xfId="0" applyFont="1" applyBorder="1" applyAlignment="1" applyProtection="1">
      <alignment horizontal="center" vertical="center"/>
    </xf>
    <xf numFmtId="0" fontId="43" fillId="0" borderId="4" xfId="0" applyFont="1" applyBorder="1" applyAlignment="1" applyProtection="1">
      <alignment horizontal="center" vertical="center"/>
    </xf>
    <xf numFmtId="0" fontId="43" fillId="0" borderId="33" xfId="0" applyFont="1" applyFill="1" applyBorder="1" applyAlignment="1" applyProtection="1">
      <alignment horizontal="distributed" vertical="center" justifyLastLine="1" shrinkToFit="1"/>
    </xf>
    <xf numFmtId="0" fontId="43" fillId="0" borderId="35" xfId="0" applyFont="1" applyFill="1" applyBorder="1" applyAlignment="1" applyProtection="1">
      <alignment horizontal="distributed" vertical="center" justifyLastLine="1" shrinkToFit="1"/>
    </xf>
    <xf numFmtId="0" fontId="42" fillId="0" borderId="14" xfId="0" applyFont="1" applyBorder="1" applyAlignment="1" applyProtection="1">
      <alignment horizontal="center" vertical="center" shrinkToFit="1"/>
    </xf>
    <xf numFmtId="0" fontId="42" fillId="0" borderId="4" xfId="0" applyFont="1" applyBorder="1" applyAlignment="1" applyProtection="1">
      <alignment horizontal="center" vertical="center" shrinkToFit="1"/>
    </xf>
    <xf numFmtId="0" fontId="44" fillId="2" borderId="0" xfId="0" applyFont="1" applyFill="1" applyAlignment="1" applyProtection="1">
      <alignment horizontal="distributed" vertical="center" justifyLastLine="1"/>
    </xf>
    <xf numFmtId="0" fontId="43" fillId="0" borderId="24" xfId="0" applyFont="1" applyFill="1" applyBorder="1" applyAlignment="1" applyProtection="1">
      <alignment horizontal="center" vertical="center" wrapText="1"/>
    </xf>
    <xf numFmtId="0" fontId="41" fillId="0" borderId="40" xfId="0" applyFont="1" applyBorder="1" applyAlignment="1" applyProtection="1">
      <alignment horizontal="center" vertical="center"/>
    </xf>
    <xf numFmtId="0" fontId="43" fillId="0" borderId="5" xfId="0" applyFont="1" applyFill="1" applyBorder="1" applyAlignment="1" applyProtection="1">
      <alignment horizontal="center" vertical="center" wrapText="1"/>
    </xf>
    <xf numFmtId="0" fontId="41" fillId="0" borderId="0" xfId="0" applyFont="1" applyBorder="1" applyAlignment="1" applyProtection="1">
      <alignment horizontal="center" vertical="center"/>
    </xf>
    <xf numFmtId="0" fontId="41" fillId="0" borderId="16" xfId="0" applyFont="1" applyBorder="1" applyAlignment="1" applyProtection="1">
      <alignment horizontal="center" vertical="center"/>
    </xf>
    <xf numFmtId="0" fontId="46" fillId="0" borderId="40" xfId="0" applyFont="1" applyBorder="1" applyAlignment="1" applyProtection="1">
      <alignment horizontal="center" vertical="center" shrinkToFit="1"/>
    </xf>
    <xf numFmtId="0" fontId="46" fillId="0" borderId="17" xfId="0" applyFont="1" applyBorder="1" applyAlignment="1" applyProtection="1">
      <alignment horizontal="center" vertical="center" shrinkToFit="1"/>
    </xf>
    <xf numFmtId="0" fontId="48" fillId="0" borderId="16" xfId="0" applyFont="1" applyBorder="1" applyAlignment="1" applyProtection="1">
      <alignment horizontal="center" vertical="center" wrapText="1"/>
    </xf>
    <xf numFmtId="0" fontId="48" fillId="0" borderId="26" xfId="0" applyFont="1" applyBorder="1" applyAlignment="1" applyProtection="1">
      <alignment horizontal="center" vertical="center" wrapText="1"/>
    </xf>
    <xf numFmtId="0" fontId="39" fillId="0" borderId="33" xfId="0" applyFont="1" applyBorder="1" applyAlignment="1" applyProtection="1">
      <alignment horizontal="distributed" vertical="center" justifyLastLine="1" shrinkToFit="1"/>
    </xf>
    <xf numFmtId="0" fontId="39" fillId="0" borderId="34" xfId="0" applyFont="1" applyBorder="1" applyAlignment="1" applyProtection="1">
      <alignment horizontal="distributed" vertical="center" justifyLastLine="1" shrinkToFit="1"/>
    </xf>
    <xf numFmtId="0" fontId="39" fillId="0" borderId="35" xfId="0" applyFont="1" applyBorder="1" applyAlignment="1" applyProtection="1">
      <alignment horizontal="distributed" vertical="center" justifyLastLine="1" shrinkToFit="1"/>
    </xf>
    <xf numFmtId="0" fontId="46" fillId="0" borderId="36" xfId="0" applyFont="1" applyBorder="1" applyAlignment="1" applyProtection="1">
      <alignment horizontal="distributed" vertical="center" justifyLastLine="1" shrinkToFit="1"/>
    </xf>
    <xf numFmtId="0" fontId="46" fillId="0" borderId="37" xfId="0" applyFont="1" applyBorder="1" applyAlignment="1" applyProtection="1">
      <alignment horizontal="distributed" vertical="center" justifyLastLine="1" shrinkToFit="1"/>
    </xf>
    <xf numFmtId="0" fontId="46" fillId="0" borderId="38" xfId="0" applyFont="1" applyBorder="1" applyAlignment="1" applyProtection="1">
      <alignment horizontal="distributed" vertical="center" justifyLastLine="1" shrinkToFit="1"/>
    </xf>
    <xf numFmtId="0" fontId="43" fillId="0" borderId="2" xfId="0" applyFont="1" applyFill="1" applyBorder="1" applyAlignment="1" applyProtection="1">
      <alignment horizontal="center" vertical="center"/>
    </xf>
    <xf numFmtId="0" fontId="41" fillId="0" borderId="2" xfId="0" applyFont="1" applyBorder="1" applyAlignment="1" applyProtection="1">
      <alignment horizontal="center" vertical="center"/>
    </xf>
    <xf numFmtId="0" fontId="46" fillId="0" borderId="7" xfId="0" applyFont="1" applyBorder="1" applyAlignment="1" applyProtection="1">
      <alignment horizontal="center" vertical="center" justifyLastLine="1" shrinkToFit="1"/>
    </xf>
    <xf numFmtId="0" fontId="46" fillId="0" borderId="1" xfId="0" applyFont="1" applyBorder="1" applyAlignment="1" applyProtection="1">
      <alignment horizontal="center" vertical="center" justifyLastLine="1" shrinkToFit="1"/>
    </xf>
    <xf numFmtId="0" fontId="46" fillId="0" borderId="8" xfId="0" applyFont="1" applyBorder="1" applyAlignment="1" applyProtection="1">
      <alignment horizontal="center" vertical="center" justifyLastLine="1" shrinkToFit="1"/>
    </xf>
    <xf numFmtId="0" fontId="46" fillId="0" borderId="7" xfId="0" applyFont="1" applyFill="1" applyBorder="1" applyAlignment="1" applyProtection="1">
      <alignment horizontal="center" vertical="center" shrinkToFit="1"/>
    </xf>
    <xf numFmtId="0" fontId="46" fillId="0" borderId="1" xfId="0" applyFont="1" applyFill="1" applyBorder="1" applyAlignment="1" applyProtection="1">
      <alignment horizontal="center" vertical="center" shrinkToFit="1"/>
    </xf>
    <xf numFmtId="0" fontId="46" fillId="0" borderId="8" xfId="0" applyFont="1" applyFill="1" applyBorder="1" applyAlignment="1" applyProtection="1">
      <alignment horizontal="center" vertical="center" shrinkToFit="1"/>
    </xf>
    <xf numFmtId="0" fontId="40" fillId="0" borderId="7" xfId="0" applyFont="1" applyBorder="1" applyAlignment="1" applyProtection="1">
      <alignment horizontal="distributed" vertical="center" justifyLastLine="1"/>
    </xf>
    <xf numFmtId="0" fontId="40" fillId="0" borderId="1" xfId="0" applyFont="1" applyBorder="1" applyAlignment="1" applyProtection="1">
      <alignment horizontal="distributed" vertical="center" justifyLastLine="1"/>
    </xf>
    <xf numFmtId="0" fontId="44" fillId="9" borderId="0" xfId="0" applyFont="1" applyFill="1" applyAlignment="1" applyProtection="1">
      <alignment horizontal="distributed" vertical="center" justifyLastLine="1"/>
    </xf>
  </cellXfs>
  <cellStyles count="19">
    <cellStyle name="桁区切り 2" xfId="7"/>
    <cellStyle name="桁区切り 3" xfId="8"/>
    <cellStyle name="標準" xfId="0" builtinId="0"/>
    <cellStyle name="標準 2" xfId="6"/>
    <cellStyle name="標準 2 2" xfId="9"/>
    <cellStyle name="標準 2 2 2" xfId="10"/>
    <cellStyle name="標準 3" xfId="11"/>
    <cellStyle name="標準 3 2" xfId="12"/>
    <cellStyle name="標準 4" xfId="13"/>
    <cellStyle name="標準 5" xfId="14"/>
    <cellStyle name="標準 6" xfId="15"/>
    <cellStyle name="標準 7" xfId="16"/>
    <cellStyle name="標準 8" xfId="17"/>
    <cellStyle name="標準 9" xfId="18"/>
    <cellStyle name="標準_20_市中体連ﾏｽﾀｰ" xfId="1"/>
    <cellStyle name="標準_22_市中体連ﾏｽﾀｰ" xfId="2"/>
    <cellStyle name="標準_22_部員名簿ﾏｽﾀｰ" xfId="3"/>
    <cellStyle name="標準_選手名簿 2" xfId="4"/>
    <cellStyle name="標準_団体試合記録(ひな型)" xfId="5"/>
  </cellStyles>
  <dxfs count="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FF99"/>
      <color rgb="FFFFFFCC"/>
      <color rgb="FF0000FF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571501</xdr:colOff>
      <xdr:row>148</xdr:row>
      <xdr:rowOff>76199</xdr:rowOff>
    </xdr:from>
    <xdr:to>
      <xdr:col>16</xdr:col>
      <xdr:colOff>280825</xdr:colOff>
      <xdr:row>172</xdr:row>
      <xdr:rowOff>28574</xdr:rowOff>
    </xdr:to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1" y="28003499"/>
          <a:ext cx="8281824" cy="40671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</xdr:row>
      <xdr:rowOff>45278</xdr:rowOff>
    </xdr:from>
    <xdr:to>
      <xdr:col>16</xdr:col>
      <xdr:colOff>400050</xdr:colOff>
      <xdr:row>14</xdr:row>
      <xdr:rowOff>66529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3760028"/>
          <a:ext cx="11591925" cy="878501"/>
        </a:xfrm>
        <a:prstGeom prst="rect">
          <a:avLst/>
        </a:prstGeom>
      </xdr:spPr>
    </xdr:pic>
    <xdr:clientData/>
  </xdr:twoCellAnchor>
  <xdr:twoCellAnchor>
    <xdr:from>
      <xdr:col>5</xdr:col>
      <xdr:colOff>47625</xdr:colOff>
      <xdr:row>172</xdr:row>
      <xdr:rowOff>19050</xdr:rowOff>
    </xdr:from>
    <xdr:to>
      <xdr:col>12</xdr:col>
      <xdr:colOff>28575</xdr:colOff>
      <xdr:row>177</xdr:row>
      <xdr:rowOff>0</xdr:rowOff>
    </xdr:to>
    <xdr:sp macro="" textlink="">
      <xdr:nvSpPr>
        <xdr:cNvPr id="10" name="AutoShape 20"/>
        <xdr:cNvSpPr>
          <a:spLocks noChangeArrowheads="1"/>
        </xdr:cNvSpPr>
      </xdr:nvSpPr>
      <xdr:spPr bwMode="auto">
        <a:xfrm>
          <a:off x="3448050" y="32061150"/>
          <a:ext cx="4981575" cy="838200"/>
        </a:xfrm>
        <a:prstGeom prst="downArrow">
          <a:avLst>
            <a:gd name="adj1" fmla="val 50000"/>
            <a:gd name="adj2" fmla="val 25000"/>
          </a:avLst>
        </a:prstGeom>
        <a:solidFill>
          <a:srgbClr val="FFFF00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HG創英丸ﾎﾟｯﾌﾟ体"/>
            </a:rPr>
            <a:t>反映する！</a:t>
          </a:r>
        </a:p>
      </xdr:txBody>
    </xdr:sp>
    <xdr:clientData/>
  </xdr:twoCellAnchor>
  <xdr:twoCellAnchor>
    <xdr:from>
      <xdr:col>0</xdr:col>
      <xdr:colOff>66675</xdr:colOff>
      <xdr:row>88</xdr:row>
      <xdr:rowOff>47624</xdr:rowOff>
    </xdr:from>
    <xdr:to>
      <xdr:col>16</xdr:col>
      <xdr:colOff>457201</xdr:colOff>
      <xdr:row>115</xdr:row>
      <xdr:rowOff>142875</xdr:rowOff>
    </xdr:to>
    <xdr:grpSp>
      <xdr:nvGrpSpPr>
        <xdr:cNvPr id="52" name="グループ化 51"/>
        <xdr:cNvGrpSpPr/>
      </xdr:nvGrpSpPr>
      <xdr:grpSpPr>
        <a:xfrm>
          <a:off x="66675" y="17497424"/>
          <a:ext cx="11649076" cy="4724401"/>
          <a:chOff x="66675" y="17497424"/>
          <a:chExt cx="11649076" cy="4724401"/>
        </a:xfrm>
      </xdr:grpSpPr>
      <xdr:pic>
        <xdr:nvPicPr>
          <xdr:cNvPr id="27" name="図 26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6675" y="17497424"/>
            <a:ext cx="11649076" cy="4724401"/>
          </a:xfrm>
          <a:prstGeom prst="rect">
            <a:avLst/>
          </a:prstGeom>
        </xdr:spPr>
      </xdr:pic>
      <xdr:sp macro="" textlink="">
        <xdr:nvSpPr>
          <xdr:cNvPr id="28" name="AutoShape 22"/>
          <xdr:cNvSpPr>
            <a:spLocks noChangeArrowheads="1"/>
          </xdr:cNvSpPr>
        </xdr:nvSpPr>
        <xdr:spPr bwMode="auto">
          <a:xfrm>
            <a:off x="7874500" y="20774025"/>
            <a:ext cx="3691271" cy="990600"/>
          </a:xfrm>
          <a:prstGeom prst="wedgeRoundRectCallout">
            <a:avLst>
              <a:gd name="adj1" fmla="val -53994"/>
              <a:gd name="adj2" fmla="val -112500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学年・段位・体重については大会ごとに変更があれば訂正してください！</a:t>
            </a:r>
          </a:p>
        </xdr:txBody>
      </xdr:sp>
      <xdr:sp macro="" textlink="">
        <xdr:nvSpPr>
          <xdr:cNvPr id="29" name="AutoShape 23"/>
          <xdr:cNvSpPr>
            <a:spLocks noChangeArrowheads="1"/>
          </xdr:cNvSpPr>
        </xdr:nvSpPr>
        <xdr:spPr bwMode="auto">
          <a:xfrm flipV="1">
            <a:off x="2973723" y="18415635"/>
            <a:ext cx="3546967" cy="857250"/>
          </a:xfrm>
          <a:prstGeom prst="wedgeRoundRectCallout">
            <a:avLst>
              <a:gd name="adj1" fmla="val -71494"/>
              <a:gd name="adj2" fmla="val -135555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苗字と名前を分けて入力してください！</a:t>
            </a:r>
            <a:endPara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  <a:p>
            <a:pPr algn="l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プログラムで必要になるので、ふりがなも同様に入力してください！</a:t>
            </a:r>
          </a:p>
        </xdr:txBody>
      </xdr:sp>
      <xdr:sp macro="" textlink="">
        <xdr:nvSpPr>
          <xdr:cNvPr id="30" name="AutoShape 23"/>
          <xdr:cNvSpPr>
            <a:spLocks noChangeArrowheads="1"/>
          </xdr:cNvSpPr>
        </xdr:nvSpPr>
        <xdr:spPr bwMode="auto">
          <a:xfrm flipV="1">
            <a:off x="3533866" y="20558760"/>
            <a:ext cx="2039300" cy="501015"/>
          </a:xfrm>
          <a:prstGeom prst="wedgeRoundRectCallout">
            <a:avLst>
              <a:gd name="adj1" fmla="val 49629"/>
              <a:gd name="adj2" fmla="val 132197"/>
              <a:gd name="adj3" fmla="val 16667"/>
            </a:avLst>
          </a:prstGeom>
          <a:solidFill>
            <a:srgbClr val="FF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ctr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chemeClr val="bg1"/>
                </a:solidFill>
                <a:latin typeface="HG丸ｺﾞｼｯｸM-PRO"/>
                <a:ea typeface="HG丸ｺﾞｼｯｸM-PRO"/>
              </a:rPr>
              <a:t>自動作成されます！</a:t>
            </a:r>
          </a:p>
        </xdr:txBody>
      </xdr:sp>
    </xdr:grpSp>
    <xdr:clientData/>
  </xdr:twoCellAnchor>
  <xdr:twoCellAnchor>
    <xdr:from>
      <xdr:col>0</xdr:col>
      <xdr:colOff>85725</xdr:colOff>
      <xdr:row>12</xdr:row>
      <xdr:rowOff>142876</xdr:rowOff>
    </xdr:from>
    <xdr:to>
      <xdr:col>16</xdr:col>
      <xdr:colOff>381879</xdr:colOff>
      <xdr:row>47</xdr:row>
      <xdr:rowOff>66675</xdr:rowOff>
    </xdr:to>
    <xdr:grpSp>
      <xdr:nvGrpSpPr>
        <xdr:cNvPr id="2" name="グループ化 1"/>
        <xdr:cNvGrpSpPr/>
      </xdr:nvGrpSpPr>
      <xdr:grpSpPr>
        <a:xfrm>
          <a:off x="85725" y="4371976"/>
          <a:ext cx="11554704" cy="5924549"/>
          <a:chOff x="85725" y="4371976"/>
          <a:chExt cx="11554704" cy="5924549"/>
        </a:xfrm>
      </xdr:grpSpPr>
      <xdr:grpSp>
        <xdr:nvGrpSpPr>
          <xdr:cNvPr id="41" name="グループ化 40"/>
          <xdr:cNvGrpSpPr/>
        </xdr:nvGrpSpPr>
        <xdr:grpSpPr>
          <a:xfrm>
            <a:off x="85725" y="4371976"/>
            <a:ext cx="11554704" cy="5924549"/>
            <a:chOff x="85725" y="4371976"/>
            <a:chExt cx="11554704" cy="5924549"/>
          </a:xfrm>
        </xdr:grpSpPr>
        <xdr:pic>
          <xdr:nvPicPr>
            <xdr:cNvPr id="32" name="図 31"/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47465" y="5041607"/>
              <a:ext cx="10392964" cy="4635793"/>
            </a:xfrm>
            <a:prstGeom prst="rect">
              <a:avLst/>
            </a:prstGeom>
          </xdr:spPr>
        </xdr:pic>
        <xdr:sp macro="" textlink="">
          <xdr:nvSpPr>
            <xdr:cNvPr id="20" name="AutoShape 9"/>
            <xdr:cNvSpPr>
              <a:spLocks noChangeArrowheads="1"/>
            </xdr:cNvSpPr>
          </xdr:nvSpPr>
          <xdr:spPr bwMode="auto">
            <a:xfrm>
              <a:off x="3533776" y="4371976"/>
              <a:ext cx="3333750" cy="628650"/>
            </a:xfrm>
            <a:prstGeom prst="wedgeRoundRectCallout">
              <a:avLst>
                <a:gd name="adj1" fmla="val -85202"/>
                <a:gd name="adj2" fmla="val 75804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年度の数字を入力すると</a:t>
              </a:r>
              <a:r>
                <a:rPr lang="en-US" altLang="ja-JP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…</a:t>
              </a:r>
            </a:p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大会の開催回数が繰り上がります！</a:t>
              </a:r>
            </a:p>
          </xdr:txBody>
        </xdr:sp>
        <xdr:sp macro="" textlink="">
          <xdr:nvSpPr>
            <xdr:cNvPr id="21" name="AutoShape 10"/>
            <xdr:cNvSpPr>
              <a:spLocks noChangeArrowheads="1"/>
            </xdr:cNvSpPr>
          </xdr:nvSpPr>
          <xdr:spPr bwMode="auto">
            <a:xfrm>
              <a:off x="85725" y="4571999"/>
              <a:ext cx="1266825" cy="2105026"/>
            </a:xfrm>
            <a:prstGeom prst="wedgeRoundRectCallout">
              <a:avLst>
                <a:gd name="adj1" fmla="val 86410"/>
                <a:gd name="adj2" fmla="val 30030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t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en-US" altLang="ja-JP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27</a:t>
              </a: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年度に東北大会に参加した学校は「学校ﾏｽﾀｰ」にＩＤ登録してあるので、その番号を入力する！</a:t>
              </a:r>
              <a:endParaRPr lang="en-US" altLang="ja-JP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endParaRPr>
            </a:p>
          </xdr:txBody>
        </xdr:sp>
        <xdr:sp macro="" textlink="">
          <xdr:nvSpPr>
            <xdr:cNvPr id="23" name="AutoShape 14"/>
            <xdr:cNvSpPr>
              <a:spLocks noChangeArrowheads="1"/>
            </xdr:cNvSpPr>
          </xdr:nvSpPr>
          <xdr:spPr bwMode="auto">
            <a:xfrm>
              <a:off x="3448050" y="9458325"/>
              <a:ext cx="4981575" cy="838200"/>
            </a:xfrm>
            <a:prstGeom prst="downArrow">
              <a:avLst>
                <a:gd name="adj1" fmla="val 50000"/>
                <a:gd name="adj2" fmla="val 25000"/>
              </a:avLst>
            </a:prstGeom>
            <a:solidFill>
              <a:srgbClr val="FFFF00"/>
            </a:solidFill>
            <a:ln w="2857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54864" tIns="32004" rIns="54864" bIns="32004" anchor="ctr" upright="1"/>
            <a:lstStyle/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FF0000"/>
                  </a:solidFill>
                  <a:latin typeface="HG創英丸ﾎﾟｯﾌﾟ体"/>
                </a:rPr>
                <a:t>反映する！</a:t>
              </a:r>
            </a:p>
          </xdr:txBody>
        </xdr:sp>
        <xdr:sp macro="" textlink="">
          <xdr:nvSpPr>
            <xdr:cNvPr id="24" name="AutoShape 9"/>
            <xdr:cNvSpPr>
              <a:spLocks noChangeArrowheads="1"/>
            </xdr:cNvSpPr>
          </xdr:nvSpPr>
          <xdr:spPr bwMode="auto">
            <a:xfrm>
              <a:off x="5448301" y="5305425"/>
              <a:ext cx="2219324" cy="428626"/>
            </a:xfrm>
            <a:prstGeom prst="wedgeRoundRectCallout">
              <a:avLst>
                <a:gd name="adj1" fmla="val -76557"/>
                <a:gd name="adj2" fmla="val 105789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ふりがなを入力する！</a:t>
              </a:r>
            </a:p>
          </xdr:txBody>
        </xdr:sp>
        <xdr:sp macro="" textlink="">
          <xdr:nvSpPr>
            <xdr:cNvPr id="33" name="AutoShape 9"/>
            <xdr:cNvSpPr>
              <a:spLocks noChangeArrowheads="1"/>
            </xdr:cNvSpPr>
          </xdr:nvSpPr>
          <xdr:spPr bwMode="auto">
            <a:xfrm>
              <a:off x="95251" y="7077075"/>
              <a:ext cx="1095374" cy="1209676"/>
            </a:xfrm>
            <a:prstGeom prst="wedgeRoundRectCallout">
              <a:avLst>
                <a:gd name="adj1" fmla="val 119882"/>
                <a:gd name="adj2" fmla="val -75926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下表の都道府県番号を入力する！</a:t>
              </a:r>
            </a:p>
          </xdr:txBody>
        </xdr:sp>
        <xdr:sp macro="" textlink="">
          <xdr:nvSpPr>
            <xdr:cNvPr id="34" name="AutoShape 9"/>
            <xdr:cNvSpPr>
              <a:spLocks noChangeArrowheads="1"/>
            </xdr:cNvSpPr>
          </xdr:nvSpPr>
          <xdr:spPr bwMode="auto">
            <a:xfrm>
              <a:off x="6181726" y="5848350"/>
              <a:ext cx="2219324" cy="428626"/>
            </a:xfrm>
            <a:prstGeom prst="wedgeRoundRectCallout">
              <a:avLst>
                <a:gd name="adj1" fmla="val -134926"/>
                <a:gd name="adj2" fmla="val 101345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学校長名を入力する！</a:t>
              </a:r>
            </a:p>
          </xdr:txBody>
        </xdr:sp>
        <xdr:sp macro="" textlink="">
          <xdr:nvSpPr>
            <xdr:cNvPr id="35" name="AutoShape 9"/>
            <xdr:cNvSpPr>
              <a:spLocks noChangeArrowheads="1"/>
            </xdr:cNvSpPr>
          </xdr:nvSpPr>
          <xdr:spPr bwMode="auto">
            <a:xfrm>
              <a:off x="5934075" y="6915150"/>
              <a:ext cx="3067050" cy="428626"/>
            </a:xfrm>
            <a:prstGeom prst="wedgeRoundRectCallout">
              <a:avLst>
                <a:gd name="adj1" fmla="val -96518"/>
                <a:gd name="adj2" fmla="val 203567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ctr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監督氏名等必要事項を入力する！</a:t>
              </a:r>
            </a:p>
          </xdr:txBody>
        </xdr:sp>
        <xdr:sp macro="" textlink="">
          <xdr:nvSpPr>
            <xdr:cNvPr id="37" name="AutoShape 9"/>
            <xdr:cNvSpPr>
              <a:spLocks noChangeArrowheads="1"/>
            </xdr:cNvSpPr>
          </xdr:nvSpPr>
          <xdr:spPr bwMode="auto">
            <a:xfrm>
              <a:off x="5686425" y="8820151"/>
              <a:ext cx="2886075" cy="552450"/>
            </a:xfrm>
            <a:prstGeom prst="wedgeRoundRectCallout">
              <a:avLst>
                <a:gd name="adj1" fmla="val 71044"/>
                <a:gd name="adj2" fmla="val -96213"/>
                <a:gd name="adj3" fmla="val 16667"/>
              </a:avLst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45720" tIns="22860" rIns="0" bIns="22860" anchor="ctr" upright="1"/>
            <a:lstStyle/>
            <a:p>
              <a:pPr algn="l" rtl="0">
                <a:lnSpc>
                  <a:spcPts val="1500"/>
                </a:lnSpc>
                <a:defRPr sz="1000"/>
              </a:pPr>
              <a:r>
                <a:rPr lang="ja-JP" altLang="en-US" sz="1400" b="1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職名・コーチ区分リストから数字を選び入力する！</a:t>
              </a:r>
            </a:p>
          </xdr:txBody>
        </xdr:sp>
      </xdr:grpSp>
      <xdr:sp macro="" textlink="">
        <xdr:nvSpPr>
          <xdr:cNvPr id="40" name="AutoShape 9"/>
          <xdr:cNvSpPr>
            <a:spLocks noChangeArrowheads="1"/>
          </xdr:cNvSpPr>
        </xdr:nvSpPr>
        <xdr:spPr bwMode="auto">
          <a:xfrm>
            <a:off x="5972175" y="6400800"/>
            <a:ext cx="2590800" cy="428626"/>
          </a:xfrm>
          <a:prstGeom prst="wedgeRoundRectCallout">
            <a:avLst>
              <a:gd name="adj1" fmla="val -106145"/>
              <a:gd name="adj2" fmla="val 72456"/>
              <a:gd name="adj3" fmla="val 16667"/>
            </a:avLst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45720" tIns="22860" rIns="0" bIns="22860" anchor="ctr" upright="1"/>
          <a:lstStyle/>
          <a:p>
            <a:pPr algn="ctr" rtl="0">
              <a:lnSpc>
                <a:spcPts val="15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住所等の情報を入力する！</a:t>
            </a:r>
          </a:p>
        </xdr:txBody>
      </xdr:sp>
    </xdr:grpSp>
    <xdr:clientData/>
  </xdr:twoCellAnchor>
  <xdr:twoCellAnchor editAs="oneCell">
    <xdr:from>
      <xdr:col>0</xdr:col>
      <xdr:colOff>0</xdr:colOff>
      <xdr:row>47</xdr:row>
      <xdr:rowOff>95251</xdr:rowOff>
    </xdr:from>
    <xdr:to>
      <xdr:col>9</xdr:col>
      <xdr:colOff>476250</xdr:colOff>
      <xdr:row>65</xdr:row>
      <xdr:rowOff>102769</xdr:rowOff>
    </xdr:to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325101"/>
          <a:ext cx="6734175" cy="3093618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285750</xdr:colOff>
      <xdr:row>54</xdr:row>
      <xdr:rowOff>47626</xdr:rowOff>
    </xdr:from>
    <xdr:to>
      <xdr:col>16</xdr:col>
      <xdr:colOff>113374</xdr:colOff>
      <xdr:row>70</xdr:row>
      <xdr:rowOff>118483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29300" y="11477626"/>
          <a:ext cx="5542624" cy="2814057"/>
        </a:xfrm>
        <a:prstGeom prst="rect">
          <a:avLst/>
        </a:prstGeom>
      </xdr:spPr>
    </xdr:pic>
    <xdr:clientData/>
  </xdr:twoCellAnchor>
  <xdr:twoCellAnchor editAs="oneCell">
    <xdr:from>
      <xdr:col>3</xdr:col>
      <xdr:colOff>647701</xdr:colOff>
      <xdr:row>66</xdr:row>
      <xdr:rowOff>104775</xdr:rowOff>
    </xdr:from>
    <xdr:to>
      <xdr:col>10</xdr:col>
      <xdr:colOff>555612</xdr:colOff>
      <xdr:row>83</xdr:row>
      <xdr:rowOff>104775</xdr:rowOff>
    </xdr:to>
    <xdr:pic>
      <xdr:nvPicPr>
        <xdr:cNvPr id="45" name="図 4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19376" y="13592175"/>
          <a:ext cx="4908536" cy="29146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79</xdr:row>
      <xdr:rowOff>19050</xdr:rowOff>
    </xdr:from>
    <xdr:to>
      <xdr:col>3</xdr:col>
      <xdr:colOff>439100</xdr:colOff>
      <xdr:row>82</xdr:row>
      <xdr:rowOff>5715</xdr:rowOff>
    </xdr:to>
    <xdr:sp macro="" textlink="">
      <xdr:nvSpPr>
        <xdr:cNvPr id="31" name="AutoShape 23"/>
        <xdr:cNvSpPr>
          <a:spLocks noChangeArrowheads="1"/>
        </xdr:cNvSpPr>
      </xdr:nvSpPr>
      <xdr:spPr bwMode="auto">
        <a:xfrm flipV="1">
          <a:off x="371475" y="15735300"/>
          <a:ext cx="2039300" cy="501015"/>
        </a:xfrm>
        <a:prstGeom prst="wedgeRoundRectCallout">
          <a:avLst>
            <a:gd name="adj1" fmla="val 129031"/>
            <a:gd name="adj2" fmla="val 141703"/>
            <a:gd name="adj3" fmla="val 1666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自動作成されます！</a:t>
          </a:r>
        </a:p>
      </xdr:txBody>
    </xdr:sp>
    <xdr:clientData/>
  </xdr:twoCellAnchor>
  <xdr:twoCellAnchor>
    <xdr:from>
      <xdr:col>0</xdr:col>
      <xdr:colOff>390525</xdr:colOff>
      <xdr:row>44</xdr:row>
      <xdr:rowOff>114300</xdr:rowOff>
    </xdr:from>
    <xdr:to>
      <xdr:col>4</xdr:col>
      <xdr:colOff>571500</xdr:colOff>
      <xdr:row>47</xdr:row>
      <xdr:rowOff>152400</xdr:rowOff>
    </xdr:to>
    <xdr:sp macro="" textlink="">
      <xdr:nvSpPr>
        <xdr:cNvPr id="46" name="円/楕円 45"/>
        <xdr:cNvSpPr/>
      </xdr:nvSpPr>
      <xdr:spPr>
        <a:xfrm>
          <a:off x="390525" y="9829800"/>
          <a:ext cx="2867025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入力ﾌｫｰﾑ！</a:t>
          </a:r>
        </a:p>
      </xdr:txBody>
    </xdr:sp>
    <xdr:clientData/>
  </xdr:twoCellAnchor>
  <xdr:twoCellAnchor>
    <xdr:from>
      <xdr:col>1</xdr:col>
      <xdr:colOff>352425</xdr:colOff>
      <xdr:row>66</xdr:row>
      <xdr:rowOff>19050</xdr:rowOff>
    </xdr:from>
    <xdr:to>
      <xdr:col>7</xdr:col>
      <xdr:colOff>104775</xdr:colOff>
      <xdr:row>69</xdr:row>
      <xdr:rowOff>57150</xdr:rowOff>
    </xdr:to>
    <xdr:sp macro="" textlink="">
      <xdr:nvSpPr>
        <xdr:cNvPr id="47" name="円/楕円 46"/>
        <xdr:cNvSpPr/>
      </xdr:nvSpPr>
      <xdr:spPr>
        <a:xfrm>
          <a:off x="895350" y="13506450"/>
          <a:ext cx="4038600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各団体・個人申込書！</a:t>
          </a:r>
        </a:p>
      </xdr:txBody>
    </xdr:sp>
    <xdr:clientData/>
  </xdr:twoCellAnchor>
  <xdr:twoCellAnchor>
    <xdr:from>
      <xdr:col>11</xdr:col>
      <xdr:colOff>228600</xdr:colOff>
      <xdr:row>52</xdr:row>
      <xdr:rowOff>9525</xdr:rowOff>
    </xdr:from>
    <xdr:to>
      <xdr:col>15</xdr:col>
      <xdr:colOff>657225</xdr:colOff>
      <xdr:row>55</xdr:row>
      <xdr:rowOff>47625</xdr:rowOff>
    </xdr:to>
    <xdr:sp macro="" textlink="">
      <xdr:nvSpPr>
        <xdr:cNvPr id="48" name="円/楕円 47"/>
        <xdr:cNvSpPr/>
      </xdr:nvSpPr>
      <xdr:spPr>
        <a:xfrm>
          <a:off x="7915275" y="11096625"/>
          <a:ext cx="3286125" cy="552450"/>
        </a:xfrm>
        <a:prstGeom prst="ellipse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参加料納付書！</a:t>
          </a:r>
        </a:p>
      </xdr:txBody>
    </xdr:sp>
    <xdr:clientData/>
  </xdr:twoCellAnchor>
  <xdr:twoCellAnchor editAs="oneCell">
    <xdr:from>
      <xdr:col>2</xdr:col>
      <xdr:colOff>95251</xdr:colOff>
      <xdr:row>121</xdr:row>
      <xdr:rowOff>1</xdr:rowOff>
    </xdr:from>
    <xdr:to>
      <xdr:col>10</xdr:col>
      <xdr:colOff>171451</xdr:colOff>
      <xdr:row>145</xdr:row>
      <xdr:rowOff>104811</xdr:rowOff>
    </xdr:to>
    <xdr:pic>
      <xdr:nvPicPr>
        <xdr:cNvPr id="49" name="図 4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52551" y="23298151"/>
          <a:ext cx="5791200" cy="4219610"/>
        </a:xfrm>
        <a:prstGeom prst="rect">
          <a:avLst/>
        </a:prstGeom>
      </xdr:spPr>
    </xdr:pic>
    <xdr:clientData/>
  </xdr:twoCellAnchor>
  <xdr:twoCellAnchor>
    <xdr:from>
      <xdr:col>10</xdr:col>
      <xdr:colOff>540250</xdr:colOff>
      <xdr:row>119</xdr:row>
      <xdr:rowOff>47625</xdr:rowOff>
    </xdr:from>
    <xdr:to>
      <xdr:col>15</xdr:col>
      <xdr:colOff>19050</xdr:colOff>
      <xdr:row>122</xdr:row>
      <xdr:rowOff>47625</xdr:rowOff>
    </xdr:to>
    <xdr:sp macro="" textlink="">
      <xdr:nvSpPr>
        <xdr:cNvPr id="51" name="AutoShape 22"/>
        <xdr:cNvSpPr>
          <a:spLocks noChangeArrowheads="1"/>
        </xdr:cNvSpPr>
      </xdr:nvSpPr>
      <xdr:spPr bwMode="auto">
        <a:xfrm>
          <a:off x="7512550" y="23002875"/>
          <a:ext cx="3050675" cy="514350"/>
        </a:xfrm>
        <a:prstGeom prst="wedgeRoundRectCallout">
          <a:avLst>
            <a:gd name="adj1" fmla="val -82120"/>
            <a:gd name="adj2" fmla="val 10861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宿泊の場合は「○」を入力する！</a:t>
          </a:r>
        </a:p>
      </xdr:txBody>
    </xdr:sp>
    <xdr:clientData/>
  </xdr:twoCellAnchor>
  <xdr:twoCellAnchor>
    <xdr:from>
      <xdr:col>11</xdr:col>
      <xdr:colOff>47626</xdr:colOff>
      <xdr:row>123</xdr:row>
      <xdr:rowOff>19050</xdr:rowOff>
    </xdr:from>
    <xdr:to>
      <xdr:col>15</xdr:col>
      <xdr:colOff>638176</xdr:colOff>
      <xdr:row>126</xdr:row>
      <xdr:rowOff>19050</xdr:rowOff>
    </xdr:to>
    <xdr:sp macro="" textlink="">
      <xdr:nvSpPr>
        <xdr:cNvPr id="57" name="AutoShape 22"/>
        <xdr:cNvSpPr>
          <a:spLocks noChangeArrowheads="1"/>
        </xdr:cNvSpPr>
      </xdr:nvSpPr>
      <xdr:spPr bwMode="auto">
        <a:xfrm>
          <a:off x="7734301" y="23660100"/>
          <a:ext cx="3448050" cy="514350"/>
        </a:xfrm>
        <a:prstGeom prst="wedgeRoundRectCallout">
          <a:avLst>
            <a:gd name="adj1" fmla="val -78599"/>
            <a:gd name="adj2" fmla="val 6602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プログラムの購入冊数を入力する！</a:t>
          </a:r>
        </a:p>
      </xdr:txBody>
    </xdr:sp>
    <xdr:clientData/>
  </xdr:twoCellAnchor>
  <xdr:twoCellAnchor>
    <xdr:from>
      <xdr:col>11</xdr:col>
      <xdr:colOff>178300</xdr:colOff>
      <xdr:row>127</xdr:row>
      <xdr:rowOff>133350</xdr:rowOff>
    </xdr:from>
    <xdr:to>
      <xdr:col>15</xdr:col>
      <xdr:colOff>371475</xdr:colOff>
      <xdr:row>132</xdr:row>
      <xdr:rowOff>152400</xdr:rowOff>
    </xdr:to>
    <xdr:sp macro="" textlink="">
      <xdr:nvSpPr>
        <xdr:cNvPr id="58" name="AutoShape 22"/>
        <xdr:cNvSpPr>
          <a:spLocks noChangeArrowheads="1"/>
        </xdr:cNvSpPr>
      </xdr:nvSpPr>
      <xdr:spPr bwMode="auto">
        <a:xfrm>
          <a:off x="7864975" y="24460200"/>
          <a:ext cx="3050675" cy="876300"/>
        </a:xfrm>
        <a:prstGeom prst="wedgeRoundRectCallout">
          <a:avLst>
            <a:gd name="adj1" fmla="val -175163"/>
            <a:gd name="adj2" fmla="val -1843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出場の場合は「１」を入力！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各県大会の「順位」を入力！</a:t>
          </a:r>
        </a:p>
      </xdr:txBody>
    </xdr:sp>
    <xdr:clientData/>
  </xdr:twoCellAnchor>
  <xdr:twoCellAnchor>
    <xdr:from>
      <xdr:col>0</xdr:col>
      <xdr:colOff>76200</xdr:colOff>
      <xdr:row>118</xdr:row>
      <xdr:rowOff>85725</xdr:rowOff>
    </xdr:from>
    <xdr:to>
      <xdr:col>3</xdr:col>
      <xdr:colOff>143825</xdr:colOff>
      <xdr:row>121</xdr:row>
      <xdr:rowOff>72390</xdr:rowOff>
    </xdr:to>
    <xdr:sp macro="" textlink="">
      <xdr:nvSpPr>
        <xdr:cNvPr id="59" name="AutoShape 23"/>
        <xdr:cNvSpPr>
          <a:spLocks noChangeArrowheads="1"/>
        </xdr:cNvSpPr>
      </xdr:nvSpPr>
      <xdr:spPr bwMode="auto">
        <a:xfrm flipV="1">
          <a:off x="76200" y="22869525"/>
          <a:ext cx="2039300" cy="501015"/>
        </a:xfrm>
        <a:prstGeom prst="wedgeRoundRectCallout">
          <a:avLst>
            <a:gd name="adj1" fmla="val 84192"/>
            <a:gd name="adj2" fmla="val -141567"/>
            <a:gd name="adj3" fmla="val 1666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自動作成されます！</a:t>
          </a:r>
        </a:p>
      </xdr:txBody>
    </xdr:sp>
    <xdr:clientData/>
  </xdr:twoCellAnchor>
  <xdr:twoCellAnchor>
    <xdr:from>
      <xdr:col>9</xdr:col>
      <xdr:colOff>438151</xdr:colOff>
      <xdr:row>134</xdr:row>
      <xdr:rowOff>19050</xdr:rowOff>
    </xdr:from>
    <xdr:to>
      <xdr:col>15</xdr:col>
      <xdr:colOff>676275</xdr:colOff>
      <xdr:row>137</xdr:row>
      <xdr:rowOff>19050</xdr:rowOff>
    </xdr:to>
    <xdr:sp macro="" textlink="">
      <xdr:nvSpPr>
        <xdr:cNvPr id="60" name="AutoShape 22"/>
        <xdr:cNvSpPr>
          <a:spLocks noChangeArrowheads="1"/>
        </xdr:cNvSpPr>
      </xdr:nvSpPr>
      <xdr:spPr bwMode="auto">
        <a:xfrm>
          <a:off x="6696076" y="25546050"/>
          <a:ext cx="4524374" cy="514350"/>
        </a:xfrm>
        <a:prstGeom prst="wedgeRoundRectCallout">
          <a:avLst>
            <a:gd name="adj1" fmla="val -122292"/>
            <a:gd name="adj2" fmla="val -1915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監督・コーチの番号を上表から選び入力する！</a:t>
          </a:r>
        </a:p>
      </xdr:txBody>
    </xdr:sp>
    <xdr:clientData/>
  </xdr:twoCellAnchor>
  <xdr:twoCellAnchor>
    <xdr:from>
      <xdr:col>0</xdr:col>
      <xdr:colOff>57150</xdr:colOff>
      <xdr:row>155</xdr:row>
      <xdr:rowOff>19050</xdr:rowOff>
    </xdr:from>
    <xdr:to>
      <xdr:col>5</xdr:col>
      <xdr:colOff>104775</xdr:colOff>
      <xdr:row>158</xdr:row>
      <xdr:rowOff>19050</xdr:rowOff>
    </xdr:to>
    <xdr:sp macro="" textlink="">
      <xdr:nvSpPr>
        <xdr:cNvPr id="61" name="AutoShape 22"/>
        <xdr:cNvSpPr>
          <a:spLocks noChangeArrowheads="1"/>
        </xdr:cNvSpPr>
      </xdr:nvSpPr>
      <xdr:spPr bwMode="auto">
        <a:xfrm>
          <a:off x="57150" y="29146500"/>
          <a:ext cx="3448050" cy="514350"/>
        </a:xfrm>
        <a:prstGeom prst="wedgeRoundRectCallout">
          <a:avLst>
            <a:gd name="adj1" fmla="val 106208"/>
            <a:gd name="adj2" fmla="val -8027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左表から選手番号を選び入力する！</a:t>
          </a:r>
        </a:p>
      </xdr:txBody>
    </xdr:sp>
    <xdr:clientData/>
  </xdr:twoCellAnchor>
  <xdr:twoCellAnchor>
    <xdr:from>
      <xdr:col>0</xdr:col>
      <xdr:colOff>66675</xdr:colOff>
      <xdr:row>165</xdr:row>
      <xdr:rowOff>9525</xdr:rowOff>
    </xdr:from>
    <xdr:to>
      <xdr:col>5</xdr:col>
      <xdr:colOff>114300</xdr:colOff>
      <xdr:row>168</xdr:row>
      <xdr:rowOff>47625</xdr:rowOff>
    </xdr:to>
    <xdr:sp macro="" textlink="">
      <xdr:nvSpPr>
        <xdr:cNvPr id="63" name="AutoShape 22"/>
        <xdr:cNvSpPr>
          <a:spLocks noChangeArrowheads="1"/>
        </xdr:cNvSpPr>
      </xdr:nvSpPr>
      <xdr:spPr bwMode="auto">
        <a:xfrm>
          <a:off x="66675" y="30851475"/>
          <a:ext cx="3448050" cy="552450"/>
        </a:xfrm>
        <a:prstGeom prst="wedgeRoundRectCallout">
          <a:avLst>
            <a:gd name="adj1" fmla="val 113114"/>
            <a:gd name="adj2" fmla="val 8282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例えば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55㎏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級の１位だとすると、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「５５１」と入力する！</a:t>
          </a:r>
        </a:p>
      </xdr:txBody>
    </xdr:sp>
    <xdr:clientData/>
  </xdr:twoCellAnchor>
  <xdr:twoCellAnchor>
    <xdr:from>
      <xdr:col>0</xdr:col>
      <xdr:colOff>95250</xdr:colOff>
      <xdr:row>160</xdr:row>
      <xdr:rowOff>47625</xdr:rowOff>
    </xdr:from>
    <xdr:to>
      <xdr:col>5</xdr:col>
      <xdr:colOff>142875</xdr:colOff>
      <xdr:row>163</xdr:row>
      <xdr:rowOff>85725</xdr:rowOff>
    </xdr:to>
    <xdr:sp macro="" textlink="">
      <xdr:nvSpPr>
        <xdr:cNvPr id="64" name="AutoShape 22"/>
        <xdr:cNvSpPr>
          <a:spLocks noChangeArrowheads="1"/>
        </xdr:cNvSpPr>
      </xdr:nvSpPr>
      <xdr:spPr bwMode="auto">
        <a:xfrm>
          <a:off x="95250" y="30032325"/>
          <a:ext cx="3448050" cy="552450"/>
        </a:xfrm>
        <a:prstGeom prst="wedgeRoundRectCallout">
          <a:avLst>
            <a:gd name="adj1" fmla="val 127755"/>
            <a:gd name="adj2" fmla="val 3454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選手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ID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が自動作成される！</a:t>
          </a:r>
        </a:p>
      </xdr:txBody>
    </xdr:sp>
    <xdr:clientData/>
  </xdr:twoCellAnchor>
  <xdr:twoCellAnchor editAs="oneCell">
    <xdr:from>
      <xdr:col>1</xdr:col>
      <xdr:colOff>0</xdr:colOff>
      <xdr:row>181</xdr:row>
      <xdr:rowOff>0</xdr:rowOff>
    </xdr:from>
    <xdr:to>
      <xdr:col>8</xdr:col>
      <xdr:colOff>352425</xdr:colOff>
      <xdr:row>227</xdr:row>
      <xdr:rowOff>11930</xdr:rowOff>
    </xdr:to>
    <xdr:pic>
      <xdr:nvPicPr>
        <xdr:cNvPr id="66" name="図 6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42925" y="33585150"/>
          <a:ext cx="5353050" cy="789863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188</xdr:row>
      <xdr:rowOff>0</xdr:rowOff>
    </xdr:from>
    <xdr:to>
      <xdr:col>16</xdr:col>
      <xdr:colOff>307646</xdr:colOff>
      <xdr:row>230</xdr:row>
      <xdr:rowOff>103836</xdr:rowOff>
    </xdr:to>
    <xdr:pic>
      <xdr:nvPicPr>
        <xdr:cNvPr id="67" name="図 66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5000" y="34785300"/>
          <a:ext cx="5851196" cy="7304736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213</xdr:row>
      <xdr:rowOff>76199</xdr:rowOff>
    </xdr:from>
    <xdr:to>
      <xdr:col>10</xdr:col>
      <xdr:colOff>342900</xdr:colOff>
      <xdr:row>262</xdr:row>
      <xdr:rowOff>26736</xdr:rowOff>
    </xdr:to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038350" y="39147749"/>
          <a:ext cx="5276850" cy="8351587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234</xdr:row>
      <xdr:rowOff>95250</xdr:rowOff>
    </xdr:from>
    <xdr:to>
      <xdr:col>16</xdr:col>
      <xdr:colOff>352425</xdr:colOff>
      <xdr:row>263</xdr:row>
      <xdr:rowOff>0</xdr:rowOff>
    </xdr:to>
    <xdr:sp macro="" textlink="">
      <xdr:nvSpPr>
        <xdr:cNvPr id="69" name="AutoShape 15"/>
        <xdr:cNvSpPr>
          <a:spLocks noChangeArrowheads="1"/>
        </xdr:cNvSpPr>
      </xdr:nvSpPr>
      <xdr:spPr bwMode="auto">
        <a:xfrm>
          <a:off x="666750" y="42767250"/>
          <a:ext cx="10944225" cy="4876800"/>
        </a:xfrm>
        <a:prstGeom prst="irregularSeal2">
          <a:avLst/>
        </a:prstGeom>
        <a:solidFill>
          <a:srgbClr val="FFFF00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「メインシート」と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「入力ﾌｫｰﾑ」、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en-US" altLang="ja-JP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｢</a:t>
          </a: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名簿ﾏｽﾀｰ</a:t>
          </a:r>
          <a:r>
            <a:rPr lang="en-US" altLang="ja-JP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｣</a:t>
          </a: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に</a:t>
          </a:r>
          <a:endParaRPr lang="en-US" altLang="ja-JP" sz="2800" b="1" i="1" u="none" strike="noStrike" baseline="0">
            <a:solidFill>
              <a:srgbClr val="0000FF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ctr" rtl="0">
            <a:defRPr sz="1000"/>
          </a:pPr>
          <a:r>
            <a:rPr lang="ja-JP" altLang="en-US" sz="2800" b="1" i="1" u="none" strike="noStrike" baseline="0">
              <a:solidFill>
                <a:srgbClr val="0000FF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必要事項を入力するだけ！</a:t>
          </a:r>
        </a:p>
      </xdr:txBody>
    </xdr:sp>
    <xdr:clientData/>
  </xdr:twoCellAnchor>
  <xdr:twoCellAnchor>
    <xdr:from>
      <xdr:col>8</xdr:col>
      <xdr:colOff>514349</xdr:colOff>
      <xdr:row>144</xdr:row>
      <xdr:rowOff>123825</xdr:rowOff>
    </xdr:from>
    <xdr:to>
      <xdr:col>15</xdr:col>
      <xdr:colOff>171449</xdr:colOff>
      <xdr:row>148</xdr:row>
      <xdr:rowOff>85725</xdr:rowOff>
    </xdr:to>
    <xdr:sp macro="" textlink="">
      <xdr:nvSpPr>
        <xdr:cNvPr id="50" name="AutoShape 22"/>
        <xdr:cNvSpPr>
          <a:spLocks noChangeArrowheads="1"/>
        </xdr:cNvSpPr>
      </xdr:nvSpPr>
      <xdr:spPr bwMode="auto">
        <a:xfrm>
          <a:off x="6057899" y="27365325"/>
          <a:ext cx="4657725" cy="647700"/>
        </a:xfrm>
        <a:prstGeom prst="wedgeRoundRectCallout">
          <a:avLst>
            <a:gd name="adj1" fmla="val 62596"/>
            <a:gd name="adj2" fmla="val 13165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2860" rIns="0" bIns="22860" anchor="ctr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団体または個人戦への重複出場がある場合には</a:t>
          </a:r>
          <a:endParaRPr lang="en-US" altLang="ja-JP" sz="14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ドロップダウンリストから選択して入力する！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32</xdr:row>
      <xdr:rowOff>38099</xdr:rowOff>
    </xdr:from>
    <xdr:to>
      <xdr:col>1</xdr:col>
      <xdr:colOff>942976</xdr:colOff>
      <xdr:row>37</xdr:row>
      <xdr:rowOff>95249</xdr:rowOff>
    </xdr:to>
    <xdr:sp macro="" textlink="">
      <xdr:nvSpPr>
        <xdr:cNvPr id="2" name="四角形吹き出し 1"/>
        <xdr:cNvSpPr/>
      </xdr:nvSpPr>
      <xdr:spPr>
        <a:xfrm>
          <a:off x="295276" y="6438899"/>
          <a:ext cx="1333500" cy="1057275"/>
        </a:xfrm>
        <a:prstGeom prst="wedgeRectCallout">
          <a:avLst>
            <a:gd name="adj1" fmla="val 83031"/>
            <a:gd name="adj2" fmla="val 481"/>
          </a:avLst>
        </a:prstGeom>
        <a:solidFill>
          <a:srgbClr val="FFFF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個人戦出場選手の番号を入力する！</a:t>
          </a:r>
        </a:p>
      </xdr:txBody>
    </xdr:sp>
    <xdr:clientData/>
  </xdr:twoCellAnchor>
  <xdr:twoCellAnchor>
    <xdr:from>
      <xdr:col>4</xdr:col>
      <xdr:colOff>323849</xdr:colOff>
      <xdr:row>31</xdr:row>
      <xdr:rowOff>9525</xdr:rowOff>
    </xdr:from>
    <xdr:to>
      <xdr:col>5</xdr:col>
      <xdr:colOff>1590674</xdr:colOff>
      <xdr:row>36</xdr:row>
      <xdr:rowOff>171449</xdr:rowOff>
    </xdr:to>
    <xdr:sp macro="" textlink="">
      <xdr:nvSpPr>
        <xdr:cNvPr id="3" name="四角形吹き出し 2"/>
        <xdr:cNvSpPr/>
      </xdr:nvSpPr>
      <xdr:spPr>
        <a:xfrm>
          <a:off x="4305299" y="6210300"/>
          <a:ext cx="2981325" cy="1162049"/>
        </a:xfrm>
        <a:prstGeom prst="wedgeRectCallout">
          <a:avLst>
            <a:gd name="adj1" fmla="val -84826"/>
            <a:gd name="adj2" fmla="val 5886"/>
          </a:avLst>
        </a:prstGeom>
        <a:solidFill>
          <a:srgbClr val="FFFFCC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順位欄には「階級」＋「順位」を入力する！</a:t>
          </a:r>
          <a:endParaRPr kumimoji="1" lang="en-US" altLang="ja-JP" sz="1600">
            <a:solidFill>
              <a:sysClr val="windowText" lastClr="000000"/>
            </a:solidFill>
            <a:latin typeface="AR Pマーカー体E" panose="020B0600010101010101" pitchFamily="50" charset="-128"/>
            <a:ea typeface="AR Pマーカー体E" panose="020B0600010101010101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例　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73㎏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級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1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位＝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｢731｣</a:t>
          </a: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　　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70㎏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超級</a:t>
          </a:r>
          <a:r>
            <a:rPr kumimoji="1" lang="en-US" altLang="ja-JP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2</a:t>
          </a:r>
          <a:r>
            <a:rPr kumimoji="1" lang="ja-JP" altLang="en-US" sz="1600">
              <a:solidFill>
                <a:sysClr val="windowText" lastClr="00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位＝「７１２」</a:t>
          </a:r>
        </a:p>
      </xdr:txBody>
    </xdr:sp>
    <xdr:clientData/>
  </xdr:twoCellAnchor>
  <xdr:twoCellAnchor>
    <xdr:from>
      <xdr:col>1</xdr:col>
      <xdr:colOff>428625</xdr:colOff>
      <xdr:row>28</xdr:row>
      <xdr:rowOff>76200</xdr:rowOff>
    </xdr:from>
    <xdr:to>
      <xdr:col>5</xdr:col>
      <xdr:colOff>685800</xdr:colOff>
      <xdr:row>30</xdr:row>
      <xdr:rowOff>142875</xdr:rowOff>
    </xdr:to>
    <xdr:sp macro="" textlink="">
      <xdr:nvSpPr>
        <xdr:cNvPr id="4" name="円/楕円 3"/>
        <xdr:cNvSpPr/>
      </xdr:nvSpPr>
      <xdr:spPr>
        <a:xfrm>
          <a:off x="1114425" y="5676900"/>
          <a:ext cx="5267325" cy="466725"/>
        </a:xfrm>
        <a:prstGeom prst="ellipse">
          <a:avLst/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AR Pマーカー体E" panose="020B0600010101010101" pitchFamily="50" charset="-128"/>
              <a:ea typeface="AR Pマーカー体E" panose="020B0600010101010101" pitchFamily="50" charset="-128"/>
            </a:rPr>
            <a:t>個人戦入力上の注意！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Q272"/>
  <sheetViews>
    <sheetView tabSelected="1" view="pageBreakPreview" topLeftCell="A238" zoomScaleNormal="75" workbookViewId="0">
      <selection activeCell="U248" sqref="U248"/>
    </sheetView>
  </sheetViews>
  <sheetFormatPr defaultRowHeight="13.5" x14ac:dyDescent="0.15"/>
  <cols>
    <col min="1" max="1" width="7.125" style="101" customWidth="1"/>
    <col min="2" max="16" width="9.375" style="101" customWidth="1"/>
    <col min="17" max="17" width="7.125" style="101" customWidth="1"/>
    <col min="18" max="18" width="2.125" style="101" customWidth="1"/>
    <col min="19" max="16384" width="9" style="101"/>
  </cols>
  <sheetData>
    <row r="1" spans="1:17" x14ac:dyDescent="0.1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52.5" customHeight="1" x14ac:dyDescent="0.15">
      <c r="A2" s="102"/>
      <c r="B2" s="191" t="s">
        <v>203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02"/>
    </row>
    <row r="3" spans="1:17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ht="52.5" customHeight="1" x14ac:dyDescent="0.15">
      <c r="A4" s="102"/>
      <c r="B4" s="192" t="s">
        <v>204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02"/>
    </row>
    <row r="5" spans="1:17" ht="52.5" customHeight="1" x14ac:dyDescent="0.15">
      <c r="A5" s="10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02"/>
    </row>
    <row r="6" spans="1:17" ht="52.5" customHeight="1" x14ac:dyDescent="0.15">
      <c r="A6" s="10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02"/>
    </row>
    <row r="7" spans="1:17" x14ac:dyDescent="0.1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17" ht="28.5" x14ac:dyDescent="0.15">
      <c r="A8" s="103" t="s">
        <v>205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</row>
    <row r="87" spans="1:17" ht="28.5" x14ac:dyDescent="0.15">
      <c r="A87" s="103" t="s">
        <v>206</v>
      </c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</row>
    <row r="118" spans="1:17" ht="28.5" x14ac:dyDescent="0.15">
      <c r="A118" s="103" t="s">
        <v>208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</row>
    <row r="265" spans="1:17" ht="28.5" x14ac:dyDescent="0.15">
      <c r="A265" s="103" t="s">
        <v>213</v>
      </c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</row>
    <row r="267" spans="1:17" ht="28.5" x14ac:dyDescent="0.15">
      <c r="A267" s="178" t="s">
        <v>214</v>
      </c>
      <c r="B267" s="178" t="s">
        <v>215</v>
      </c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</row>
    <row r="268" spans="1:17" ht="28.5" x14ac:dyDescent="0.15">
      <c r="A268" s="178"/>
      <c r="B268" s="178" t="s">
        <v>216</v>
      </c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</row>
    <row r="269" spans="1:17" ht="6" customHeight="1" x14ac:dyDescent="0.15">
      <c r="A269" s="180"/>
      <c r="B269" s="180"/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0"/>
      <c r="O269" s="180"/>
      <c r="P269" s="180"/>
      <c r="Q269" s="180"/>
    </row>
    <row r="270" spans="1:17" ht="28.5" x14ac:dyDescent="0.15">
      <c r="A270" s="178" t="s">
        <v>214</v>
      </c>
      <c r="B270" s="178" t="s">
        <v>219</v>
      </c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</row>
    <row r="271" spans="1:17" ht="28.5" x14ac:dyDescent="0.15">
      <c r="A271" s="178"/>
      <c r="B271" s="178" t="s">
        <v>218</v>
      </c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</row>
    <row r="272" spans="1:17" ht="28.5" x14ac:dyDescent="0.15">
      <c r="A272" s="178"/>
      <c r="B272" s="178" t="s">
        <v>217</v>
      </c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</row>
  </sheetData>
  <sheetProtection sheet="1" objects="1" scenarios="1"/>
  <mergeCells count="2">
    <mergeCell ref="B2:P2"/>
    <mergeCell ref="B4:P6"/>
  </mergeCells>
  <phoneticPr fontId="2"/>
  <pageMargins left="0.25" right="0.21" top="0.51" bottom="0.27" header="0.13" footer="0.27"/>
  <pageSetup paperSize="9" scale="65" orientation="portrait" horizontalDpi="4294967293" r:id="rId1"/>
  <headerFooter alignWithMargins="0"/>
  <rowBreaks count="2" manualBreakCount="2">
    <brk id="85" max="16" man="1"/>
    <brk id="180" max="16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view="pageBreakPreview" zoomScaleNormal="100" zoomScaleSheetLayoutView="100" workbookViewId="0">
      <selection activeCell="P9" sqref="P9"/>
    </sheetView>
  </sheetViews>
  <sheetFormatPr defaultRowHeight="13.5" x14ac:dyDescent="0.15"/>
  <cols>
    <col min="1" max="1" width="11" style="135" customWidth="1"/>
    <col min="2" max="2" width="10" style="135" customWidth="1"/>
    <col min="3" max="3" width="10.625" style="135" customWidth="1"/>
    <col min="4" max="4" width="3.75" style="152" customWidth="1"/>
    <col min="5" max="5" width="5.875" style="152" customWidth="1"/>
    <col min="6" max="6" width="12.75" style="152" customWidth="1"/>
    <col min="7" max="7" width="6.875" style="152" customWidth="1"/>
    <col min="8" max="8" width="15.625" style="152" customWidth="1"/>
    <col min="9" max="9" width="5.75" style="152" customWidth="1"/>
    <col min="10" max="11" width="7.875" style="152" customWidth="1"/>
    <col min="12" max="12" width="10.625" style="152" customWidth="1"/>
    <col min="13" max="13" width="4.375" style="152" customWidth="1"/>
    <col min="14" max="14" width="3.75" style="152" customWidth="1"/>
    <col min="15" max="16384" width="9" style="152"/>
  </cols>
  <sheetData>
    <row r="1" spans="1:14" ht="30" customHeight="1" thickBot="1" x14ac:dyDescent="0.2">
      <c r="A1" s="134" t="s">
        <v>116</v>
      </c>
      <c r="C1" s="450" t="str">
        <f>男子団体!$C$1</f>
        <v>平成２８年度東北中学校体育大会　第３９回東北中学校柔道大会</v>
      </c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30" customHeight="1" thickBot="1" x14ac:dyDescent="0.2">
      <c r="A2" s="136">
        <f>メインシート!C6</f>
        <v>0</v>
      </c>
      <c r="C2" s="153"/>
      <c r="D2" s="587" t="s">
        <v>200</v>
      </c>
      <c r="E2" s="587"/>
      <c r="F2" s="587"/>
      <c r="G2" s="587"/>
      <c r="H2" s="587"/>
      <c r="I2" s="587"/>
      <c r="J2" s="587"/>
      <c r="K2" s="587"/>
      <c r="L2" s="587"/>
      <c r="M2" s="154"/>
      <c r="N2" s="154"/>
    </row>
    <row r="3" spans="1:14" ht="14.25" thickBot="1" x14ac:dyDescent="0.2"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30" customHeight="1" thickBot="1" x14ac:dyDescent="0.2">
      <c r="A4" s="136">
        <f>メインシート!$C$8</f>
        <v>0</v>
      </c>
      <c r="C4" s="453" t="s">
        <v>15</v>
      </c>
      <c r="D4" s="453"/>
      <c r="E4" s="585" t="e">
        <f>VLOOKUP($A$4,メインシート!$B$13:$D$18,2,0)</f>
        <v>#N/A</v>
      </c>
      <c r="F4" s="586"/>
      <c r="G4" s="156" t="s">
        <v>16</v>
      </c>
      <c r="H4" s="518"/>
      <c r="I4" s="519"/>
      <c r="J4" s="520"/>
      <c r="K4" s="520"/>
      <c r="L4" s="520"/>
      <c r="M4" s="520"/>
      <c r="N4" s="520"/>
    </row>
    <row r="5" spans="1:14" ht="15.75" customHeight="1" x14ac:dyDescent="0.15">
      <c r="C5" s="557" t="s">
        <v>202</v>
      </c>
      <c r="D5" s="558"/>
      <c r="E5" s="521">
        <f>メインシート!$H$5</f>
        <v>0</v>
      </c>
      <c r="F5" s="522"/>
      <c r="G5" s="522"/>
      <c r="H5" s="522"/>
      <c r="I5" s="522"/>
      <c r="J5" s="522"/>
      <c r="K5" s="522"/>
      <c r="L5" s="522"/>
      <c r="M5" s="522"/>
      <c r="N5" s="523"/>
    </row>
    <row r="6" spans="1:14" ht="30" customHeight="1" x14ac:dyDescent="0.15">
      <c r="C6" s="464" t="s">
        <v>0</v>
      </c>
      <c r="D6" s="465"/>
      <c r="E6" s="530">
        <f>メインシート!$H$6</f>
        <v>0</v>
      </c>
      <c r="F6" s="531"/>
      <c r="G6" s="531"/>
      <c r="H6" s="531"/>
      <c r="I6" s="531"/>
      <c r="J6" s="531"/>
      <c r="K6" s="531"/>
      <c r="L6" s="531"/>
      <c r="M6" s="531"/>
      <c r="N6" s="532"/>
    </row>
    <row r="7" spans="1:14" ht="36.75" customHeight="1" x14ac:dyDescent="0.15">
      <c r="C7" s="464" t="s">
        <v>39</v>
      </c>
      <c r="D7" s="465"/>
      <c r="E7" s="524" t="str">
        <f>IF(メインシート!$H$7="","",メインシート!$H$7)</f>
        <v/>
      </c>
      <c r="F7" s="525"/>
      <c r="G7" s="525"/>
      <c r="H7" s="525"/>
      <c r="I7" s="525"/>
      <c r="J7" s="525"/>
      <c r="K7" s="525"/>
      <c r="L7" s="157" t="s">
        <v>40</v>
      </c>
      <c r="M7" s="158"/>
      <c r="N7" s="159"/>
    </row>
    <row r="8" spans="1:14" ht="30" customHeight="1" x14ac:dyDescent="0.15">
      <c r="C8" s="466" t="s">
        <v>25</v>
      </c>
      <c r="D8" s="467"/>
      <c r="E8" s="160" t="s">
        <v>43</v>
      </c>
      <c r="F8" s="161">
        <f>メインシート!$H$8</f>
        <v>0</v>
      </c>
      <c r="G8" s="162" t="s">
        <v>26</v>
      </c>
      <c r="H8" s="582">
        <f>メインシート!$H$9</f>
        <v>0</v>
      </c>
      <c r="I8" s="583"/>
      <c r="J8" s="583"/>
      <c r="K8" s="583"/>
      <c r="L8" s="583"/>
      <c r="M8" s="583"/>
      <c r="N8" s="584"/>
    </row>
    <row r="9" spans="1:14" ht="30" customHeight="1" x14ac:dyDescent="0.15">
      <c r="C9" s="468"/>
      <c r="D9" s="469"/>
      <c r="E9" s="186" t="s">
        <v>44</v>
      </c>
      <c r="F9" s="535">
        <f>メインシート!$H$10</f>
        <v>0</v>
      </c>
      <c r="G9" s="536"/>
      <c r="H9" s="537"/>
      <c r="I9" s="163" t="s">
        <v>45</v>
      </c>
      <c r="J9" s="535">
        <f>メインシート!$H$11</f>
        <v>0</v>
      </c>
      <c r="K9" s="536"/>
      <c r="L9" s="536"/>
      <c r="M9" s="536"/>
      <c r="N9" s="537"/>
    </row>
    <row r="10" spans="1:14" ht="18" customHeight="1" x14ac:dyDescent="0.15">
      <c r="C10" s="466" t="s">
        <v>27</v>
      </c>
      <c r="D10" s="467"/>
      <c r="E10" s="164" t="s">
        <v>24</v>
      </c>
      <c r="F10" s="571" t="str">
        <f>IF(F11="","",VLOOKUP(F11,入力ﾌｫｰﾑ!$C$4:$E$7,3,0))</f>
        <v/>
      </c>
      <c r="G10" s="572"/>
      <c r="H10" s="572"/>
      <c r="I10" s="572"/>
      <c r="J10" s="573"/>
      <c r="K10" s="553" t="s">
        <v>28</v>
      </c>
      <c r="L10" s="540" t="str">
        <f>IF(F11="","",VLOOKUP(F11,入力ﾌｫｰﾑ!$C$4:$E$7,2,0))</f>
        <v/>
      </c>
      <c r="M10" s="567"/>
      <c r="N10" s="541"/>
    </row>
    <row r="11" spans="1:14" ht="37.5" customHeight="1" x14ac:dyDescent="0.15">
      <c r="A11" s="135">
        <f>入力ﾌｫｰﾑ!$A$26</f>
        <v>202001</v>
      </c>
      <c r="C11" s="470"/>
      <c r="D11" s="471"/>
      <c r="E11" s="165" t="s">
        <v>29</v>
      </c>
      <c r="F11" s="574" t="str">
        <f>IF(VLOOKUP($A11,入力ﾌｫｰﾑ!$A$11:$F$27,4,0)="","",VLOOKUP($A11,入力ﾌｫｰﾑ!$A$11:$F$27,4,0))</f>
        <v/>
      </c>
      <c r="G11" s="575"/>
      <c r="H11" s="575"/>
      <c r="I11" s="575"/>
      <c r="J11" s="576"/>
      <c r="K11" s="554"/>
      <c r="L11" s="542"/>
      <c r="M11" s="568"/>
      <c r="N11" s="543"/>
    </row>
    <row r="12" spans="1:14" ht="30" customHeight="1" x14ac:dyDescent="0.15">
      <c r="A12" s="135">
        <f>入力ﾌｫｰﾑ!$A$26</f>
        <v>202001</v>
      </c>
      <c r="C12" s="468"/>
      <c r="D12" s="469"/>
      <c r="E12" s="186" t="s">
        <v>44</v>
      </c>
      <c r="F12" s="579" t="str">
        <f>IF(VLOOKUP($A12,入力ﾌｫｰﾑ!$A$11:$F$27,5,0)="","",VLOOKUP($A12,入力ﾌｫｰﾑ!$A$11:$F$27,5,0))</f>
        <v/>
      </c>
      <c r="G12" s="580"/>
      <c r="H12" s="581"/>
      <c r="I12" s="163" t="s">
        <v>30</v>
      </c>
      <c r="J12" s="535" t="str">
        <f>IF(VLOOKUP($A12,入力ﾌｫｰﾑ!$A$11:$F$27,6,0)="","",VLOOKUP($A12,入力ﾌｫｰﾑ!$A$11:$F$27,6,0))</f>
        <v/>
      </c>
      <c r="K12" s="536"/>
      <c r="L12" s="536"/>
      <c r="M12" s="536"/>
      <c r="N12" s="537"/>
    </row>
    <row r="13" spans="1:14" ht="18" customHeight="1" x14ac:dyDescent="0.15">
      <c r="C13" s="466" t="s">
        <v>41</v>
      </c>
      <c r="D13" s="467"/>
      <c r="E13" s="164" t="s">
        <v>24</v>
      </c>
      <c r="F13" s="571" t="str">
        <f>IF(F14="","",VLOOKUP(F14,入力ﾌｫｰﾑ!$C$4:$E$7,3,0))</f>
        <v/>
      </c>
      <c r="G13" s="572"/>
      <c r="H13" s="572"/>
      <c r="I13" s="572"/>
      <c r="J13" s="573"/>
      <c r="K13" s="553" t="s">
        <v>33</v>
      </c>
      <c r="L13" s="472" t="str">
        <f>IF(F14="","",VLOOKUP(F14,メインシート!$H$13:$R$19,9,0))</f>
        <v/>
      </c>
      <c r="M13" s="473"/>
      <c r="N13" s="474"/>
    </row>
    <row r="14" spans="1:14" ht="37.5" customHeight="1" x14ac:dyDescent="0.15">
      <c r="A14" s="135">
        <f>入力ﾌｫｰﾑ!$A$27</f>
        <v>202002</v>
      </c>
      <c r="C14" s="468"/>
      <c r="D14" s="469"/>
      <c r="E14" s="165" t="s">
        <v>29</v>
      </c>
      <c r="F14" s="574" t="str">
        <f>IF(VLOOKUP($A14,入力ﾌｫｰﾑ!$A$11:$F$27,4,0)="","",VLOOKUP($A14,入力ﾌｫｰﾑ!$A$11:$F$27,4,0))</f>
        <v/>
      </c>
      <c r="G14" s="575"/>
      <c r="H14" s="575"/>
      <c r="I14" s="575"/>
      <c r="J14" s="576"/>
      <c r="K14" s="554"/>
      <c r="L14" s="475"/>
      <c r="M14" s="476"/>
      <c r="N14" s="477"/>
    </row>
    <row r="15" spans="1:14" x14ac:dyDescent="0.15"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4" ht="27" customHeight="1" x14ac:dyDescent="0.15">
      <c r="C16" s="478" t="s">
        <v>13</v>
      </c>
      <c r="D16" s="562" t="s">
        <v>31</v>
      </c>
      <c r="E16" s="563"/>
      <c r="F16" s="577" t="s">
        <v>32</v>
      </c>
      <c r="G16" s="578"/>
      <c r="H16" s="578"/>
      <c r="I16" s="578"/>
      <c r="J16" s="484" t="s">
        <v>11</v>
      </c>
      <c r="K16" s="484" t="s">
        <v>36</v>
      </c>
      <c r="L16" s="484" t="s">
        <v>34</v>
      </c>
      <c r="M16" s="492" t="s">
        <v>12</v>
      </c>
      <c r="N16" s="493"/>
    </row>
    <row r="17" spans="3:14" ht="13.5" customHeight="1" x14ac:dyDescent="0.15">
      <c r="C17" s="479"/>
      <c r="D17" s="564"/>
      <c r="E17" s="565"/>
      <c r="F17" s="497" t="s">
        <v>24</v>
      </c>
      <c r="G17" s="551"/>
      <c r="H17" s="551"/>
      <c r="I17" s="552"/>
      <c r="J17" s="485"/>
      <c r="K17" s="485"/>
      <c r="L17" s="485"/>
      <c r="M17" s="494"/>
      <c r="N17" s="495"/>
    </row>
    <row r="18" spans="3:14" ht="17.25" customHeight="1" x14ac:dyDescent="0.15">
      <c r="C18" s="480"/>
      <c r="D18" s="566"/>
      <c r="E18" s="501"/>
      <c r="F18" s="549" t="s">
        <v>37</v>
      </c>
      <c r="G18" s="550"/>
      <c r="H18" s="555" t="s">
        <v>38</v>
      </c>
      <c r="I18" s="556"/>
      <c r="J18" s="486"/>
      <c r="K18" s="486"/>
      <c r="L18" s="486"/>
      <c r="M18" s="569"/>
      <c r="N18" s="570"/>
    </row>
    <row r="19" spans="3:14" ht="20.100000000000001" customHeight="1" x14ac:dyDescent="0.15">
      <c r="C19" s="559" t="str">
        <f>IF(入力ﾌｫｰﾑ!$V30="","",IF(VALUE(LEFT(入力ﾌｫｰﾑ!$V30,2))=71,"70㎏超級",CONCATENATE(LEFT(入力ﾌｫｰﾑ!$V30,2),"㎏級")))</f>
        <v/>
      </c>
      <c r="D19" s="540" t="str">
        <f>IF(入力ﾌｫｰﾑ!$V30="","",RIGHT(入力ﾌｫｰﾑ!$V30,1))</f>
        <v/>
      </c>
      <c r="E19" s="541"/>
      <c r="F19" s="547" t="str">
        <f>IF(入力ﾌｫｰﾑ!$V30="","",VLOOKUP(入力ﾌｫｰﾑ!$V30,入力ﾌｫｰﾑ!$V$30:$AF$37,6,0))</f>
        <v/>
      </c>
      <c r="G19" s="548"/>
      <c r="H19" s="538" t="str">
        <f>IF(入力ﾌｫｰﾑ!$V30="","",VLOOKUP(入力ﾌｫｰﾑ!$V30,入力ﾌｫｰﾑ!$V$30:$AF$37,7,0))</f>
        <v/>
      </c>
      <c r="I19" s="539"/>
      <c r="J19" s="526" t="str">
        <f>IF(入力ﾌｫｰﾑ!$V30="","",VLOOKUP(入力ﾌｫｰﾑ!$V30,入力ﾌｫｰﾑ!$V$30:$AF$37,8,0))</f>
        <v/>
      </c>
      <c r="K19" s="526" t="str">
        <f>IF(入力ﾌｫｰﾑ!$V30="","",VLOOKUP(入力ﾌｫｰﾑ!$V30,入力ﾌｫｰﾑ!$V$30:$AF$37,9,0))</f>
        <v/>
      </c>
      <c r="L19" s="516" t="str">
        <f>IF(入力ﾌｫｰﾑ!$V30="","",VLOOKUP(入力ﾌｫｰﾑ!$V30,入力ﾌｫｰﾑ!$V$30:$AF$37,10,0))</f>
        <v/>
      </c>
      <c r="M19" s="512" t="str">
        <f>IF(入力ﾌｫｰﾑ!$V30="","",VLOOKUP(入力ﾌｫｰﾑ!$V30,入力ﾌｫｰﾑ!$V$30:$AF$37,11,0))</f>
        <v/>
      </c>
      <c r="N19" s="513"/>
    </row>
    <row r="20" spans="3:14" ht="37.5" customHeight="1" x14ac:dyDescent="0.15">
      <c r="C20" s="560"/>
      <c r="D20" s="542"/>
      <c r="E20" s="543"/>
      <c r="F20" s="545" t="str">
        <f>IF(入力ﾌｫｰﾑ!$V30="","",VLOOKUP(入力ﾌｫｰﾑ!$V30,入力ﾌｫｰﾑ!$V$30:$AF$37,4,0))</f>
        <v/>
      </c>
      <c r="G20" s="546"/>
      <c r="H20" s="528" t="str">
        <f>IF(入力ﾌｫｰﾑ!$V30="","",VLOOKUP(入力ﾌｫｰﾑ!$V30,入力ﾌｫｰﾑ!$V$30:$AF$37,5,0))</f>
        <v/>
      </c>
      <c r="I20" s="529"/>
      <c r="J20" s="527"/>
      <c r="K20" s="527"/>
      <c r="L20" s="517"/>
      <c r="M20" s="514"/>
      <c r="N20" s="515"/>
    </row>
    <row r="21" spans="3:14" ht="20.100000000000001" customHeight="1" x14ac:dyDescent="0.15">
      <c r="C21" s="559" t="str">
        <f>IF(入力ﾌｫｰﾑ!$V31="","",IF(VALUE(LEFT(入力ﾌｫｰﾑ!$V31,2))=71,"70㎏超級",CONCATENATE(LEFT(入力ﾌｫｰﾑ!$V31,2),"㎏級")))</f>
        <v/>
      </c>
      <c r="D21" s="540" t="str">
        <f>IF(入力ﾌｫｰﾑ!$V31="","",RIGHT(入力ﾌｫｰﾑ!$V31,1))</f>
        <v/>
      </c>
      <c r="E21" s="541"/>
      <c r="F21" s="547" t="str">
        <f>IF(入力ﾌｫｰﾑ!$V31="","",VLOOKUP(入力ﾌｫｰﾑ!$V31,入力ﾌｫｰﾑ!$V$30:$AF$37,6,0))</f>
        <v/>
      </c>
      <c r="G21" s="548"/>
      <c r="H21" s="538" t="str">
        <f>IF(入力ﾌｫｰﾑ!$V31="","",VLOOKUP(入力ﾌｫｰﾑ!$V31,入力ﾌｫｰﾑ!$V$30:$AF$37,7,0))</f>
        <v/>
      </c>
      <c r="I21" s="539"/>
      <c r="J21" s="526" t="str">
        <f>IF(入力ﾌｫｰﾑ!$V31="","",VLOOKUP(入力ﾌｫｰﾑ!$V31,入力ﾌｫｰﾑ!$V$30:$AF$37,8,0))</f>
        <v/>
      </c>
      <c r="K21" s="526" t="str">
        <f>IF(入力ﾌｫｰﾑ!$V31="","",VLOOKUP(入力ﾌｫｰﾑ!$V31,入力ﾌｫｰﾑ!$V$30:$AF$37,9,0))</f>
        <v/>
      </c>
      <c r="L21" s="516" t="str">
        <f>IF(入力ﾌｫｰﾑ!$V31="","",VLOOKUP(入力ﾌｫｰﾑ!$V31,入力ﾌｫｰﾑ!$V$30:$AF$37,10,0))</f>
        <v/>
      </c>
      <c r="M21" s="512" t="str">
        <f>IF(入力ﾌｫｰﾑ!$V31="","",VLOOKUP(入力ﾌｫｰﾑ!$V31,入力ﾌｫｰﾑ!$V$30:$AF$37,11,0))</f>
        <v/>
      </c>
      <c r="N21" s="513"/>
    </row>
    <row r="22" spans="3:14" ht="37.5" customHeight="1" x14ac:dyDescent="0.15">
      <c r="C22" s="560"/>
      <c r="D22" s="542"/>
      <c r="E22" s="543"/>
      <c r="F22" s="545" t="str">
        <f>IF(入力ﾌｫｰﾑ!$V31="","",VLOOKUP(入力ﾌｫｰﾑ!$V31,入力ﾌｫｰﾑ!$V$30:$AF$37,4,0))</f>
        <v/>
      </c>
      <c r="G22" s="546"/>
      <c r="H22" s="528" t="str">
        <f>IF(入力ﾌｫｰﾑ!$V31="","",VLOOKUP(入力ﾌｫｰﾑ!$V31,入力ﾌｫｰﾑ!$V$30:$AF$37,5,0))</f>
        <v/>
      </c>
      <c r="I22" s="529"/>
      <c r="J22" s="527"/>
      <c r="K22" s="527"/>
      <c r="L22" s="517"/>
      <c r="M22" s="514"/>
      <c r="N22" s="515"/>
    </row>
    <row r="23" spans="3:14" ht="20.100000000000001" customHeight="1" x14ac:dyDescent="0.15">
      <c r="C23" s="559" t="str">
        <f>IF(入力ﾌｫｰﾑ!$V32="","",IF(VALUE(LEFT(入力ﾌｫｰﾑ!$V32,2))=71,"70㎏超級",CONCATENATE(LEFT(入力ﾌｫｰﾑ!$V32,2),"㎏級")))</f>
        <v/>
      </c>
      <c r="D23" s="540" t="str">
        <f>IF(入力ﾌｫｰﾑ!$V32="","",RIGHT(入力ﾌｫｰﾑ!$V32,1))</f>
        <v/>
      </c>
      <c r="E23" s="541"/>
      <c r="F23" s="547" t="str">
        <f>IF(入力ﾌｫｰﾑ!$V32="","",VLOOKUP(入力ﾌｫｰﾑ!$V32,入力ﾌｫｰﾑ!$V$30:$AF$37,6,0))</f>
        <v/>
      </c>
      <c r="G23" s="548"/>
      <c r="H23" s="538" t="str">
        <f>IF(入力ﾌｫｰﾑ!$V32="","",VLOOKUP(入力ﾌｫｰﾑ!$V32,入力ﾌｫｰﾑ!$V$30:$AF$37,7,0))</f>
        <v/>
      </c>
      <c r="I23" s="539"/>
      <c r="J23" s="526" t="str">
        <f>IF(入力ﾌｫｰﾑ!$V32="","",VLOOKUP(入力ﾌｫｰﾑ!$V32,入力ﾌｫｰﾑ!$V$30:$AF$37,8,0))</f>
        <v/>
      </c>
      <c r="K23" s="526" t="str">
        <f>IF(入力ﾌｫｰﾑ!$V32="","",VLOOKUP(入力ﾌｫｰﾑ!$V32,入力ﾌｫｰﾑ!$V$30:$AF$37,9,0))</f>
        <v/>
      </c>
      <c r="L23" s="516" t="str">
        <f>IF(入力ﾌｫｰﾑ!$V32="","",VLOOKUP(入力ﾌｫｰﾑ!$V32,入力ﾌｫｰﾑ!$V$30:$AF$37,10,0))</f>
        <v/>
      </c>
      <c r="M23" s="512" t="str">
        <f>IF(入力ﾌｫｰﾑ!$V32="","",VLOOKUP(入力ﾌｫｰﾑ!$V32,入力ﾌｫｰﾑ!$V$30:$AF$37,11,0))</f>
        <v/>
      </c>
      <c r="N23" s="513"/>
    </row>
    <row r="24" spans="3:14" ht="37.5" customHeight="1" x14ac:dyDescent="0.15">
      <c r="C24" s="560"/>
      <c r="D24" s="542"/>
      <c r="E24" s="543"/>
      <c r="F24" s="545" t="str">
        <f>IF(入力ﾌｫｰﾑ!$V32="","",VLOOKUP(入力ﾌｫｰﾑ!$V32,入力ﾌｫｰﾑ!$V$30:$AF$37,4,0))</f>
        <v/>
      </c>
      <c r="G24" s="546"/>
      <c r="H24" s="528" t="str">
        <f>IF(入力ﾌｫｰﾑ!$V32="","",VLOOKUP(入力ﾌｫｰﾑ!$V32,入力ﾌｫｰﾑ!$V$30:$AF$37,5,0))</f>
        <v/>
      </c>
      <c r="I24" s="529"/>
      <c r="J24" s="527"/>
      <c r="K24" s="527"/>
      <c r="L24" s="517"/>
      <c r="M24" s="514"/>
      <c r="N24" s="515"/>
    </row>
    <row r="25" spans="3:14" ht="20.100000000000001" customHeight="1" x14ac:dyDescent="0.15">
      <c r="C25" s="559" t="str">
        <f>IF(入力ﾌｫｰﾑ!$V33="","",IF(VALUE(LEFT(入力ﾌｫｰﾑ!$V33,2))=71,"70㎏超級",CONCATENATE(LEFT(入力ﾌｫｰﾑ!$V33,2),"㎏級")))</f>
        <v/>
      </c>
      <c r="D25" s="540" t="str">
        <f>IF(入力ﾌｫｰﾑ!$V33="","",RIGHT(入力ﾌｫｰﾑ!$V33,1))</f>
        <v/>
      </c>
      <c r="E25" s="541"/>
      <c r="F25" s="547" t="str">
        <f>IF(入力ﾌｫｰﾑ!$V33="","",VLOOKUP(入力ﾌｫｰﾑ!$V33,入力ﾌｫｰﾑ!$V$30:$AF$37,6,0))</f>
        <v/>
      </c>
      <c r="G25" s="548"/>
      <c r="H25" s="538" t="str">
        <f>IF(入力ﾌｫｰﾑ!$V33="","",VLOOKUP(入力ﾌｫｰﾑ!$V33,入力ﾌｫｰﾑ!$V$30:$AF$37,7,0))</f>
        <v/>
      </c>
      <c r="I25" s="539"/>
      <c r="J25" s="526" t="str">
        <f>IF(入力ﾌｫｰﾑ!$V33="","",VLOOKUP(入力ﾌｫｰﾑ!$V33,入力ﾌｫｰﾑ!$V$30:$AF$37,8,0))</f>
        <v/>
      </c>
      <c r="K25" s="526" t="str">
        <f>IF(入力ﾌｫｰﾑ!$V33="","",VLOOKUP(入力ﾌｫｰﾑ!$V33,入力ﾌｫｰﾑ!$V$30:$AF$37,9,0))</f>
        <v/>
      </c>
      <c r="L25" s="516" t="str">
        <f>IF(入力ﾌｫｰﾑ!$V33="","",VLOOKUP(入力ﾌｫｰﾑ!$V33,入力ﾌｫｰﾑ!$V$30:$AF$37,10,0))</f>
        <v/>
      </c>
      <c r="M25" s="512" t="str">
        <f>IF(入力ﾌｫｰﾑ!$V33="","",VLOOKUP(入力ﾌｫｰﾑ!$V33,入力ﾌｫｰﾑ!$V$30:$AF$37,11,0))</f>
        <v/>
      </c>
      <c r="N25" s="513"/>
    </row>
    <row r="26" spans="3:14" ht="37.5" customHeight="1" x14ac:dyDescent="0.15">
      <c r="C26" s="560"/>
      <c r="D26" s="542"/>
      <c r="E26" s="543"/>
      <c r="F26" s="545" t="str">
        <f>IF(入力ﾌｫｰﾑ!$V33="","",VLOOKUP(入力ﾌｫｰﾑ!$V33,入力ﾌｫｰﾑ!$V$33:$AF$37,4,0))</f>
        <v/>
      </c>
      <c r="G26" s="546"/>
      <c r="H26" s="528" t="str">
        <f>IF(入力ﾌｫｰﾑ!$V33="","",VLOOKUP(入力ﾌｫｰﾑ!$V33,入力ﾌｫｰﾑ!$V$33:$AF$37,5,0))</f>
        <v/>
      </c>
      <c r="I26" s="529"/>
      <c r="J26" s="527"/>
      <c r="K26" s="527"/>
      <c r="L26" s="517"/>
      <c r="M26" s="514"/>
      <c r="N26" s="515"/>
    </row>
    <row r="27" spans="3:14" ht="20.100000000000001" customHeight="1" x14ac:dyDescent="0.15">
      <c r="C27" s="559" t="str">
        <f>IF(入力ﾌｫｰﾑ!$V34="","",IF(VALUE(LEFT(入力ﾌｫｰﾑ!$V34,2))=71,"70㎏超級",CONCATENATE(LEFT(入力ﾌｫｰﾑ!$V34,2),"㎏級")))</f>
        <v/>
      </c>
      <c r="D27" s="540" t="str">
        <f>IF(入力ﾌｫｰﾑ!$V34="","",RIGHT(入力ﾌｫｰﾑ!$V34,1))</f>
        <v/>
      </c>
      <c r="E27" s="541"/>
      <c r="F27" s="547" t="str">
        <f>IF(入力ﾌｫｰﾑ!$V34="","",VLOOKUP(入力ﾌｫｰﾑ!$V34,入力ﾌｫｰﾑ!$V$30:$AF$37,6,0))</f>
        <v/>
      </c>
      <c r="G27" s="548"/>
      <c r="H27" s="538" t="str">
        <f>IF(入力ﾌｫｰﾑ!$V34="","",VLOOKUP(入力ﾌｫｰﾑ!$V34,入力ﾌｫｰﾑ!$V$30:$AF$37,7,0))</f>
        <v/>
      </c>
      <c r="I27" s="539"/>
      <c r="J27" s="526" t="str">
        <f>IF(入力ﾌｫｰﾑ!$V34="","",VLOOKUP(入力ﾌｫｰﾑ!$V34,入力ﾌｫｰﾑ!$V$30:$AF$37,8,0))</f>
        <v/>
      </c>
      <c r="K27" s="526" t="str">
        <f>IF(入力ﾌｫｰﾑ!$V34="","",VLOOKUP(入力ﾌｫｰﾑ!$V34,入力ﾌｫｰﾑ!$V$30:$AF$37,9,0))</f>
        <v/>
      </c>
      <c r="L27" s="516" t="str">
        <f>IF(入力ﾌｫｰﾑ!$V34="","",VLOOKUP(入力ﾌｫｰﾑ!$V34,入力ﾌｫｰﾑ!$V$30:$AF$37,10,0))</f>
        <v/>
      </c>
      <c r="M27" s="512" t="str">
        <f>IF(入力ﾌｫｰﾑ!$V34="","",VLOOKUP(入力ﾌｫｰﾑ!$V34,入力ﾌｫｰﾑ!$V$30:$AF$37,11,0))</f>
        <v/>
      </c>
      <c r="N27" s="513"/>
    </row>
    <row r="28" spans="3:14" ht="37.5" customHeight="1" x14ac:dyDescent="0.15">
      <c r="C28" s="560"/>
      <c r="D28" s="542"/>
      <c r="E28" s="543"/>
      <c r="F28" s="545" t="str">
        <f>IF(入力ﾌｫｰﾑ!$V34="","",VLOOKUP(入力ﾌｫｰﾑ!$V34,入力ﾌｫｰﾑ!$V$33:$AF$37,4,0))</f>
        <v/>
      </c>
      <c r="G28" s="546"/>
      <c r="H28" s="528" t="str">
        <f>IF(入力ﾌｫｰﾑ!$V34="","",VLOOKUP(入力ﾌｫｰﾑ!$V34,入力ﾌｫｰﾑ!$V$33:$AF$37,5,0))</f>
        <v/>
      </c>
      <c r="I28" s="529"/>
      <c r="J28" s="527"/>
      <c r="K28" s="527"/>
      <c r="L28" s="517"/>
      <c r="M28" s="514"/>
      <c r="N28" s="515"/>
    </row>
    <row r="29" spans="3:14" ht="20.100000000000001" customHeight="1" x14ac:dyDescent="0.15">
      <c r="C29" s="559" t="str">
        <f>IF(入力ﾌｫｰﾑ!$V35="","",IF(VALUE(LEFT(入力ﾌｫｰﾑ!$V35,2))=71,"70㎏超級",CONCATENATE(LEFT(入力ﾌｫｰﾑ!$V35,2),"㎏級")))</f>
        <v/>
      </c>
      <c r="D29" s="540" t="str">
        <f>IF(入力ﾌｫｰﾑ!$V35="","",RIGHT(入力ﾌｫｰﾑ!$V35,1))</f>
        <v/>
      </c>
      <c r="E29" s="541"/>
      <c r="F29" s="547" t="str">
        <f>IF(入力ﾌｫｰﾑ!$V35="","",VLOOKUP(入力ﾌｫｰﾑ!$V35,入力ﾌｫｰﾑ!$V$30:$AF$37,6,0))</f>
        <v/>
      </c>
      <c r="G29" s="548"/>
      <c r="H29" s="538" t="str">
        <f>IF(入力ﾌｫｰﾑ!$V35="","",VLOOKUP(入力ﾌｫｰﾑ!$V35,入力ﾌｫｰﾑ!$V$30:$AF$37,7,0))</f>
        <v/>
      </c>
      <c r="I29" s="539"/>
      <c r="J29" s="526" t="str">
        <f>IF(入力ﾌｫｰﾑ!$V35="","",VLOOKUP(入力ﾌｫｰﾑ!$V35,入力ﾌｫｰﾑ!$V$30:$AF$37,8,0))</f>
        <v/>
      </c>
      <c r="K29" s="526" t="str">
        <f>IF(入力ﾌｫｰﾑ!$V35="","",VLOOKUP(入力ﾌｫｰﾑ!$V35,入力ﾌｫｰﾑ!$V$30:$AF$37,9,0))</f>
        <v/>
      </c>
      <c r="L29" s="516" t="str">
        <f>IF(入力ﾌｫｰﾑ!$V35="","",VLOOKUP(入力ﾌｫｰﾑ!$V35,入力ﾌｫｰﾑ!$V$30:$AF$37,10,0))</f>
        <v/>
      </c>
      <c r="M29" s="512" t="str">
        <f>IF(入力ﾌｫｰﾑ!$V35="","",VLOOKUP(入力ﾌｫｰﾑ!$V35,入力ﾌｫｰﾑ!$V$30:$AF$37,11,0))</f>
        <v/>
      </c>
      <c r="N29" s="513"/>
    </row>
    <row r="30" spans="3:14" ht="37.5" customHeight="1" x14ac:dyDescent="0.15">
      <c r="C30" s="560"/>
      <c r="D30" s="542"/>
      <c r="E30" s="543"/>
      <c r="F30" s="545" t="str">
        <f>IF(入力ﾌｫｰﾑ!$V35="","",VLOOKUP(入力ﾌｫｰﾑ!$V35,入力ﾌｫｰﾑ!$V$33:$AF$37,4,0))</f>
        <v/>
      </c>
      <c r="G30" s="546"/>
      <c r="H30" s="528" t="str">
        <f>IF(入力ﾌｫｰﾑ!$V35="","",VLOOKUP(入力ﾌｫｰﾑ!$V35,入力ﾌｫｰﾑ!$V$33:$AF$37,5,0))</f>
        <v/>
      </c>
      <c r="I30" s="529"/>
      <c r="J30" s="527"/>
      <c r="K30" s="527"/>
      <c r="L30" s="517"/>
      <c r="M30" s="514"/>
      <c r="N30" s="515"/>
    </row>
    <row r="31" spans="3:14" ht="20.100000000000001" customHeight="1" x14ac:dyDescent="0.15">
      <c r="C31" s="559" t="str">
        <f>IF(入力ﾌｫｰﾑ!$V36="","",IF(VALUE(LEFT(入力ﾌｫｰﾑ!$V36,2))=71,"70㎏超級",CONCATENATE(LEFT(入力ﾌｫｰﾑ!$V36,2),"㎏級")))</f>
        <v/>
      </c>
      <c r="D31" s="540" t="str">
        <f>IF(入力ﾌｫｰﾑ!$V36="","",RIGHT(入力ﾌｫｰﾑ!$V36,1))</f>
        <v/>
      </c>
      <c r="E31" s="541"/>
      <c r="F31" s="547" t="str">
        <f>IF(入力ﾌｫｰﾑ!$V36="","",VLOOKUP(入力ﾌｫｰﾑ!$V36,入力ﾌｫｰﾑ!$V$30:$AF$37,6,0))</f>
        <v/>
      </c>
      <c r="G31" s="548"/>
      <c r="H31" s="538" t="str">
        <f>IF(入力ﾌｫｰﾑ!$V36="","",VLOOKUP(入力ﾌｫｰﾑ!$V36,入力ﾌｫｰﾑ!$V$30:$AF$37,7,0))</f>
        <v/>
      </c>
      <c r="I31" s="539"/>
      <c r="J31" s="526" t="str">
        <f>IF(入力ﾌｫｰﾑ!$V36="","",VLOOKUP(入力ﾌｫｰﾑ!$V36,入力ﾌｫｰﾑ!$V$30:$AF$37,8,0))</f>
        <v/>
      </c>
      <c r="K31" s="526" t="str">
        <f>IF(入力ﾌｫｰﾑ!$V36="","",VLOOKUP(入力ﾌｫｰﾑ!$V36,入力ﾌｫｰﾑ!$V$30:$AF$37,9,0))</f>
        <v/>
      </c>
      <c r="L31" s="516" t="str">
        <f>IF(入力ﾌｫｰﾑ!$V36="","",VLOOKUP(入力ﾌｫｰﾑ!$V36,入力ﾌｫｰﾑ!$V$30:$AF$37,10,0))</f>
        <v/>
      </c>
      <c r="M31" s="512" t="str">
        <f>IF(入力ﾌｫｰﾑ!$V36="","",VLOOKUP(入力ﾌｫｰﾑ!$V36,入力ﾌｫｰﾑ!$V$30:$AF$37,11,0))</f>
        <v/>
      </c>
      <c r="N31" s="513"/>
    </row>
    <row r="32" spans="3:14" ht="37.5" customHeight="1" x14ac:dyDescent="0.15">
      <c r="C32" s="560"/>
      <c r="D32" s="542"/>
      <c r="E32" s="543"/>
      <c r="F32" s="545" t="str">
        <f>IF(入力ﾌｫｰﾑ!$V36="","",VLOOKUP(入力ﾌｫｰﾑ!$V36,入力ﾌｫｰﾑ!$V$33:$AF$37,4,0))</f>
        <v/>
      </c>
      <c r="G32" s="546"/>
      <c r="H32" s="528" t="str">
        <f>IF(入力ﾌｫｰﾑ!$V36="","",VLOOKUP(入力ﾌｫｰﾑ!$V36,入力ﾌｫｰﾑ!$V$33:$AF$37,5,0))</f>
        <v/>
      </c>
      <c r="I32" s="529"/>
      <c r="J32" s="527"/>
      <c r="K32" s="527"/>
      <c r="L32" s="517"/>
      <c r="M32" s="514"/>
      <c r="N32" s="515"/>
    </row>
    <row r="33" spans="3:14" ht="20.100000000000001" customHeight="1" x14ac:dyDescent="0.15">
      <c r="C33" s="559" t="str">
        <f>IF(入力ﾌｫｰﾑ!$V37="","",IF(VALUE(LEFT(入力ﾌｫｰﾑ!$V37,2))=71,"70㎏超級",CONCATENATE(LEFT(入力ﾌｫｰﾑ!$V37,2),"㎏級")))</f>
        <v/>
      </c>
      <c r="D33" s="540" t="str">
        <f>IF(入力ﾌｫｰﾑ!$V37="","",RIGHT(入力ﾌｫｰﾑ!$V37,1))</f>
        <v/>
      </c>
      <c r="E33" s="541"/>
      <c r="F33" s="547" t="str">
        <f>IF(入力ﾌｫｰﾑ!$V37="","",VLOOKUP(入力ﾌｫｰﾑ!$V37,入力ﾌｫｰﾑ!$V$30:$AF$37,6,0))</f>
        <v/>
      </c>
      <c r="G33" s="548"/>
      <c r="H33" s="538" t="str">
        <f>IF(入力ﾌｫｰﾑ!$V37="","",VLOOKUP(入力ﾌｫｰﾑ!$V37,入力ﾌｫｰﾑ!$V$30:$AF$37,7,0))</f>
        <v/>
      </c>
      <c r="I33" s="539"/>
      <c r="J33" s="526" t="str">
        <f>IF(入力ﾌｫｰﾑ!$V37="","",VLOOKUP(入力ﾌｫｰﾑ!$V37,入力ﾌｫｰﾑ!$V$30:$AF$37,8,0))</f>
        <v/>
      </c>
      <c r="K33" s="526" t="str">
        <f>IF(入力ﾌｫｰﾑ!$V37="","",VLOOKUP(入力ﾌｫｰﾑ!$V37,入力ﾌｫｰﾑ!$V$30:$AF$37,9,0))</f>
        <v/>
      </c>
      <c r="L33" s="516" t="str">
        <f>IF(入力ﾌｫｰﾑ!$V37="","",VLOOKUP(入力ﾌｫｰﾑ!$V37,入力ﾌｫｰﾑ!$V$30:$AF$37,10,0))</f>
        <v/>
      </c>
      <c r="M33" s="512" t="str">
        <f>IF(入力ﾌｫｰﾑ!$V37="","",VLOOKUP(入力ﾌｫｰﾑ!$V37,入力ﾌｫｰﾑ!$V$30:$AF$37,11,0))</f>
        <v/>
      </c>
      <c r="N33" s="513"/>
    </row>
    <row r="34" spans="3:14" ht="37.5" customHeight="1" x14ac:dyDescent="0.15">
      <c r="C34" s="560"/>
      <c r="D34" s="542"/>
      <c r="E34" s="543"/>
      <c r="F34" s="545" t="str">
        <f>IF(入力ﾌｫｰﾑ!$V37="","",VLOOKUP(入力ﾌｫｰﾑ!$V37,入力ﾌｫｰﾑ!$V$33:$AF$37,4,0))</f>
        <v/>
      </c>
      <c r="G34" s="546"/>
      <c r="H34" s="528" t="str">
        <f>IF(入力ﾌｫｰﾑ!$V37="","",VLOOKUP(入力ﾌｫｰﾑ!$V37,入力ﾌｫｰﾑ!$V$33:$AF$37,5,0))</f>
        <v/>
      </c>
      <c r="I34" s="529"/>
      <c r="J34" s="527"/>
      <c r="K34" s="527"/>
      <c r="L34" s="517"/>
      <c r="M34" s="514"/>
      <c r="N34" s="515"/>
    </row>
    <row r="35" spans="3:14" ht="7.5" customHeight="1" x14ac:dyDescent="0.15">
      <c r="D35" s="167"/>
      <c r="E35" s="167"/>
      <c r="F35" s="167"/>
      <c r="G35" s="167"/>
      <c r="H35" s="167"/>
      <c r="I35" s="167"/>
      <c r="J35" s="544"/>
      <c r="K35" s="544"/>
      <c r="L35" s="544"/>
      <c r="M35" s="544"/>
      <c r="N35" s="544"/>
    </row>
    <row r="36" spans="3:14" ht="24" customHeight="1" x14ac:dyDescent="0.15">
      <c r="C36" s="511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</row>
    <row r="37" spans="3:14" ht="24" customHeight="1" x14ac:dyDescent="0.15">
      <c r="C37" s="511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</row>
    <row r="38" spans="3:14" ht="24" customHeight="1" x14ac:dyDescent="0.15">
      <c r="C38" s="368" t="s">
        <v>220</v>
      </c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</row>
    <row r="40" spans="3:14" x14ac:dyDescent="0.15">
      <c r="C40" s="149"/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3:14" x14ac:dyDescent="0.15">
      <c r="D41" s="168"/>
      <c r="E41" s="168"/>
      <c r="F41" s="168"/>
      <c r="G41" s="168"/>
      <c r="H41" s="168"/>
    </row>
    <row r="42" spans="3:14" x14ac:dyDescent="0.15">
      <c r="D42" s="168"/>
      <c r="E42" s="168"/>
      <c r="F42" s="168"/>
      <c r="G42" s="168"/>
      <c r="H42" s="168"/>
    </row>
    <row r="43" spans="3:14" x14ac:dyDescent="0.15">
      <c r="D43" s="168"/>
      <c r="E43" s="168"/>
      <c r="F43" s="168"/>
      <c r="G43" s="168"/>
      <c r="H43" s="168"/>
    </row>
    <row r="44" spans="3:14" x14ac:dyDescent="0.15">
      <c r="D44" s="168"/>
      <c r="E44" s="168"/>
      <c r="F44" s="168"/>
      <c r="G44" s="168"/>
      <c r="H44" s="168"/>
    </row>
    <row r="45" spans="3:14" x14ac:dyDescent="0.15">
      <c r="D45" s="168"/>
      <c r="E45" s="168"/>
      <c r="F45" s="168"/>
      <c r="G45" s="168"/>
      <c r="H45" s="168"/>
    </row>
    <row r="46" spans="3:14" x14ac:dyDescent="0.15">
      <c r="D46" s="168"/>
      <c r="E46" s="168"/>
      <c r="F46" s="168"/>
      <c r="G46" s="168"/>
      <c r="H46" s="168"/>
    </row>
    <row r="47" spans="3:14" x14ac:dyDescent="0.15">
      <c r="D47" s="168"/>
      <c r="E47" s="168"/>
      <c r="F47" s="168"/>
      <c r="G47" s="168"/>
      <c r="H47" s="168"/>
    </row>
    <row r="54" spans="7:7" x14ac:dyDescent="0.15">
      <c r="G54" s="169"/>
    </row>
    <row r="55" spans="7:7" x14ac:dyDescent="0.15">
      <c r="G55" s="169"/>
    </row>
    <row r="56" spans="7:7" x14ac:dyDescent="0.15">
      <c r="G56" s="169"/>
    </row>
    <row r="57" spans="7:7" x14ac:dyDescent="0.15">
      <c r="G57" s="169"/>
    </row>
    <row r="58" spans="7:7" x14ac:dyDescent="0.15">
      <c r="G58" s="169"/>
    </row>
    <row r="59" spans="7:7" x14ac:dyDescent="0.15">
      <c r="G59" s="169"/>
    </row>
    <row r="60" spans="7:7" x14ac:dyDescent="0.15">
      <c r="G60" s="169"/>
    </row>
    <row r="61" spans="7:7" x14ac:dyDescent="0.15">
      <c r="G61" s="169"/>
    </row>
    <row r="62" spans="7:7" x14ac:dyDescent="0.15">
      <c r="G62" s="169"/>
    </row>
    <row r="63" spans="7:7" x14ac:dyDescent="0.15">
      <c r="G63" s="169"/>
    </row>
    <row r="64" spans="7:7" x14ac:dyDescent="0.15">
      <c r="G64" s="169"/>
    </row>
  </sheetData>
  <sheetProtection sheet="1" objects="1" scenarios="1"/>
  <mergeCells count="121">
    <mergeCell ref="C1:N1"/>
    <mergeCell ref="C29:C30"/>
    <mergeCell ref="C31:C32"/>
    <mergeCell ref="D2:L2"/>
    <mergeCell ref="C19:C20"/>
    <mergeCell ref="C21:C22"/>
    <mergeCell ref="C23:C24"/>
    <mergeCell ref="C25:C26"/>
    <mergeCell ref="C27:C28"/>
    <mergeCell ref="F25:G25"/>
    <mergeCell ref="H25:I25"/>
    <mergeCell ref="F26:G26"/>
    <mergeCell ref="F28:G28"/>
    <mergeCell ref="H28:I28"/>
    <mergeCell ref="H26:I26"/>
    <mergeCell ref="K27:K28"/>
    <mergeCell ref="M25:N26"/>
    <mergeCell ref="J23:J24"/>
    <mergeCell ref="K23:K24"/>
    <mergeCell ref="L31:L32"/>
    <mergeCell ref="M31:N32"/>
    <mergeCell ref="L27:L28"/>
    <mergeCell ref="M27:N28"/>
    <mergeCell ref="D27:E28"/>
    <mergeCell ref="F27:G27"/>
    <mergeCell ref="H27:I27"/>
    <mergeCell ref="J27:J28"/>
    <mergeCell ref="D25:E26"/>
    <mergeCell ref="J25:J26"/>
    <mergeCell ref="K25:K26"/>
    <mergeCell ref="L21:L22"/>
    <mergeCell ref="M21:N22"/>
    <mergeCell ref="D21:E22"/>
    <mergeCell ref="F21:G21"/>
    <mergeCell ref="H21:I21"/>
    <mergeCell ref="F22:G22"/>
    <mergeCell ref="L25:L26"/>
    <mergeCell ref="L23:L24"/>
    <mergeCell ref="M23:N24"/>
    <mergeCell ref="D23:E24"/>
    <mergeCell ref="F23:G23"/>
    <mergeCell ref="H23:I23"/>
    <mergeCell ref="F24:G24"/>
    <mergeCell ref="H24:I24"/>
    <mergeCell ref="H22:I22"/>
    <mergeCell ref="J21:J22"/>
    <mergeCell ref="K21:K22"/>
    <mergeCell ref="D19:E20"/>
    <mergeCell ref="F19:G19"/>
    <mergeCell ref="H19:I19"/>
    <mergeCell ref="F20:G20"/>
    <mergeCell ref="H20:I20"/>
    <mergeCell ref="J19:J20"/>
    <mergeCell ref="K19:K20"/>
    <mergeCell ref="L19:L20"/>
    <mergeCell ref="M19:N20"/>
    <mergeCell ref="L16:L18"/>
    <mergeCell ref="M16:N18"/>
    <mergeCell ref="F17:I17"/>
    <mergeCell ref="F18:G18"/>
    <mergeCell ref="H18:I18"/>
    <mergeCell ref="D16:E18"/>
    <mergeCell ref="F16:I16"/>
    <mergeCell ref="J16:J18"/>
    <mergeCell ref="K13:K14"/>
    <mergeCell ref="K16:K18"/>
    <mergeCell ref="F13:J13"/>
    <mergeCell ref="F14:J14"/>
    <mergeCell ref="C13:D14"/>
    <mergeCell ref="C16:C18"/>
    <mergeCell ref="L13:N14"/>
    <mergeCell ref="F10:J10"/>
    <mergeCell ref="K10:K11"/>
    <mergeCell ref="L10:N11"/>
    <mergeCell ref="F12:H12"/>
    <mergeCell ref="J12:N12"/>
    <mergeCell ref="F11:J11"/>
    <mergeCell ref="C10:D12"/>
    <mergeCell ref="E4:F4"/>
    <mergeCell ref="H4:N4"/>
    <mergeCell ref="E5:N5"/>
    <mergeCell ref="H8:N8"/>
    <mergeCell ref="F9:H9"/>
    <mergeCell ref="J9:N9"/>
    <mergeCell ref="E7:K7"/>
    <mergeCell ref="E6:N6"/>
    <mergeCell ref="C4:D4"/>
    <mergeCell ref="C5:D5"/>
    <mergeCell ref="C6:D6"/>
    <mergeCell ref="C7:D7"/>
    <mergeCell ref="C8:D9"/>
    <mergeCell ref="D31:E32"/>
    <mergeCell ref="F31:G31"/>
    <mergeCell ref="H31:I31"/>
    <mergeCell ref="F32:G32"/>
    <mergeCell ref="H32:I32"/>
    <mergeCell ref="L29:L30"/>
    <mergeCell ref="M29:N30"/>
    <mergeCell ref="F30:G30"/>
    <mergeCell ref="H30:I30"/>
    <mergeCell ref="J31:J32"/>
    <mergeCell ref="K31:K32"/>
    <mergeCell ref="D29:E30"/>
    <mergeCell ref="F29:G29"/>
    <mergeCell ref="H29:I29"/>
    <mergeCell ref="J29:J30"/>
    <mergeCell ref="K29:K30"/>
    <mergeCell ref="C38:N38"/>
    <mergeCell ref="C37:N37"/>
    <mergeCell ref="C36:N36"/>
    <mergeCell ref="C33:C34"/>
    <mergeCell ref="D33:E34"/>
    <mergeCell ref="F33:G33"/>
    <mergeCell ref="H33:I33"/>
    <mergeCell ref="J33:J34"/>
    <mergeCell ref="K33:K34"/>
    <mergeCell ref="L33:L34"/>
    <mergeCell ref="M33:N34"/>
    <mergeCell ref="F34:G34"/>
    <mergeCell ref="H34:I34"/>
    <mergeCell ref="J35:N35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E5:E6"/>
    <dataValidation imeMode="off" allowBlank="1" showInputMessage="1" showErrorMessage="1" sqref="F12 J9 J12 F8:F9 L19:L34"/>
    <dataValidation imeMode="on" allowBlank="1" showInputMessage="1" showErrorMessage="1" sqref="F13:F14 E7 H8 F10:F11 L10"/>
  </dataValidations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83" orientation="portrait" errors="blank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33"/>
  <sheetViews>
    <sheetView zoomScale="120" zoomScaleNormal="120" workbookViewId="0">
      <selection activeCell="C8" sqref="C8:D8"/>
    </sheetView>
  </sheetViews>
  <sheetFormatPr defaultRowHeight="13.5" x14ac:dyDescent="0.15"/>
  <cols>
    <col min="1" max="1" width="4.5" style="25" customWidth="1"/>
    <col min="2" max="2" width="7.625" style="25" customWidth="1"/>
    <col min="3" max="3" width="7.25" style="25" customWidth="1"/>
    <col min="4" max="4" width="6.625" style="25" customWidth="1"/>
    <col min="5" max="5" width="3.5" style="25" customWidth="1"/>
    <col min="6" max="6" width="6" style="25" customWidth="1"/>
    <col min="7" max="7" width="4.125" style="25" customWidth="1"/>
    <col min="8" max="9" width="23.625" style="25" customWidth="1"/>
    <col min="10" max="10" width="4.625" style="25" customWidth="1"/>
    <col min="11" max="12" width="8.875" style="25" customWidth="1"/>
    <col min="13" max="14" width="18.125" style="25" customWidth="1"/>
    <col min="15" max="15" width="4.625" style="25" customWidth="1"/>
    <col min="16" max="16" width="14.125" style="25" customWidth="1"/>
    <col min="17" max="18" width="11.625" style="25" customWidth="1"/>
    <col min="19" max="19" width="10.75" style="25" customWidth="1"/>
    <col min="20" max="20" width="5.125" style="25" customWidth="1"/>
    <col min="21" max="16384" width="9" style="25"/>
  </cols>
  <sheetData>
    <row r="1" spans="1:2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1" ht="27" customHeight="1" x14ac:dyDescent="0.15">
      <c r="A2" s="24"/>
      <c r="B2" s="29" t="s">
        <v>138</v>
      </c>
      <c r="C2" s="26">
        <v>28</v>
      </c>
      <c r="D2" s="27" t="s">
        <v>139</v>
      </c>
      <c r="E2" s="24"/>
      <c r="F2" s="28" t="s">
        <v>140</v>
      </c>
      <c r="G2" s="28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21" ht="27" customHeight="1" x14ac:dyDescent="0.15">
      <c r="A3" s="24"/>
      <c r="B3" s="29" t="s">
        <v>141</v>
      </c>
      <c r="C3" s="65">
        <f>VLOOKUP($C$2,$U$22:$V$46,2,0)</f>
        <v>39</v>
      </c>
      <c r="D3" s="27" t="s">
        <v>142</v>
      </c>
      <c r="E3" s="24"/>
      <c r="F3" s="28" t="s">
        <v>143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21" ht="27" customHeight="1" thickBot="1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1" ht="27" customHeight="1" thickBot="1" x14ac:dyDescent="0.2">
      <c r="A5" s="24"/>
      <c r="B5" s="24"/>
      <c r="C5" s="24"/>
      <c r="D5" s="24"/>
      <c r="E5" s="24"/>
      <c r="F5" s="193" t="s">
        <v>144</v>
      </c>
      <c r="G5" s="194"/>
      <c r="H5" s="195"/>
      <c r="I5" s="196"/>
      <c r="J5" s="24"/>
      <c r="K5" s="24"/>
      <c r="L5" s="24"/>
      <c r="M5" s="24"/>
      <c r="N5" s="24"/>
      <c r="O5" s="197" t="s">
        <v>145</v>
      </c>
      <c r="P5" s="197"/>
      <c r="Q5" s="24"/>
      <c r="R5" s="24"/>
      <c r="S5" s="24"/>
    </row>
    <row r="6" spans="1:21" ht="27" customHeight="1" thickBot="1" x14ac:dyDescent="0.2">
      <c r="A6" s="24"/>
      <c r="B6" s="24"/>
      <c r="C6" s="24"/>
      <c r="D6" s="24"/>
      <c r="E6" s="24"/>
      <c r="F6" s="198" t="s">
        <v>77</v>
      </c>
      <c r="G6" s="198"/>
      <c r="H6" s="199"/>
      <c r="I6" s="200"/>
      <c r="J6" s="30"/>
      <c r="K6" s="24"/>
      <c r="L6" s="24"/>
      <c r="M6" s="24"/>
      <c r="N6" s="30"/>
      <c r="O6" s="31">
        <v>1</v>
      </c>
      <c r="P6" s="31" t="s">
        <v>146</v>
      </c>
      <c r="Q6" s="30"/>
      <c r="R6" s="30"/>
      <c r="S6" s="30"/>
    </row>
    <row r="7" spans="1:21" ht="27" customHeight="1" thickBot="1" x14ac:dyDescent="0.2">
      <c r="A7" s="24"/>
      <c r="B7" s="24"/>
      <c r="C7" s="24"/>
      <c r="D7" s="24"/>
      <c r="E7" s="24"/>
      <c r="F7" s="193" t="s">
        <v>147</v>
      </c>
      <c r="G7" s="194"/>
      <c r="H7" s="32"/>
      <c r="I7" s="30"/>
      <c r="J7" s="30"/>
      <c r="K7" s="24"/>
      <c r="L7" s="24"/>
      <c r="M7" s="24"/>
      <c r="N7" s="30"/>
      <c r="O7" s="31">
        <v>2</v>
      </c>
      <c r="P7" s="31" t="s">
        <v>148</v>
      </c>
      <c r="Q7" s="30"/>
      <c r="R7" s="30"/>
      <c r="S7" s="30"/>
      <c r="U7" s="66" t="s">
        <v>75</v>
      </c>
    </row>
    <row r="8" spans="1:21" ht="27" customHeight="1" x14ac:dyDescent="0.15">
      <c r="A8" s="24"/>
      <c r="B8" s="33" t="s">
        <v>149</v>
      </c>
      <c r="C8" s="203"/>
      <c r="D8" s="203"/>
      <c r="E8" s="24"/>
      <c r="F8" s="198" t="s">
        <v>150</v>
      </c>
      <c r="G8" s="198"/>
      <c r="H8" s="189"/>
      <c r="I8" s="30"/>
      <c r="J8" s="30"/>
      <c r="K8" s="24"/>
      <c r="L8" s="24"/>
      <c r="M8" s="24"/>
      <c r="N8" s="30"/>
      <c r="O8" s="31">
        <v>3</v>
      </c>
      <c r="P8" s="31" t="s">
        <v>59</v>
      </c>
      <c r="Q8" s="30"/>
      <c r="R8" s="30"/>
      <c r="S8" s="30"/>
      <c r="U8" s="34"/>
    </row>
    <row r="9" spans="1:21" ht="27" customHeight="1" thickBot="1" x14ac:dyDescent="0.2">
      <c r="A9" s="24"/>
      <c r="B9" s="24"/>
      <c r="C9" s="24"/>
      <c r="D9" s="24"/>
      <c r="E9" s="24"/>
      <c r="F9" s="204" t="s">
        <v>26</v>
      </c>
      <c r="G9" s="204"/>
      <c r="H9" s="199"/>
      <c r="I9" s="200"/>
      <c r="J9" s="30"/>
      <c r="K9" s="24"/>
      <c r="L9" s="24"/>
      <c r="M9" s="24"/>
      <c r="N9" s="30"/>
      <c r="O9" s="31">
        <v>4</v>
      </c>
      <c r="P9" s="31" t="s">
        <v>60</v>
      </c>
      <c r="Q9" s="30"/>
      <c r="R9" s="30"/>
      <c r="S9" s="30"/>
      <c r="U9" s="34"/>
    </row>
    <row r="10" spans="1:21" ht="27" customHeight="1" thickTop="1" thickBot="1" x14ac:dyDescent="0.2">
      <c r="A10" s="24"/>
      <c r="B10" s="205" t="str">
        <f>IF(C8="","",VLOOKUP(C8,$B$13:$D$18,2,0))</f>
        <v/>
      </c>
      <c r="C10" s="206"/>
      <c r="D10" s="35" t="s">
        <v>16</v>
      </c>
      <c r="E10" s="24"/>
      <c r="F10" s="204" t="s">
        <v>151</v>
      </c>
      <c r="G10" s="204"/>
      <c r="H10" s="188"/>
      <c r="I10" s="30"/>
      <c r="J10" s="30"/>
      <c r="K10" s="24"/>
      <c r="L10" s="24"/>
      <c r="M10" s="24"/>
      <c r="N10" s="30"/>
      <c r="O10" s="31">
        <v>5</v>
      </c>
      <c r="P10" s="31"/>
      <c r="Q10" s="30"/>
      <c r="R10" s="30"/>
      <c r="S10" s="30"/>
      <c r="U10" s="34"/>
    </row>
    <row r="11" spans="1:21" ht="27" customHeight="1" thickTop="1" thickBot="1" x14ac:dyDescent="0.2">
      <c r="A11" s="24"/>
      <c r="B11" s="24"/>
      <c r="C11" s="24"/>
      <c r="D11" s="24"/>
      <c r="E11" s="24"/>
      <c r="F11" s="207" t="s">
        <v>152</v>
      </c>
      <c r="G11" s="207"/>
      <c r="H11" s="188"/>
      <c r="I11" s="30"/>
      <c r="J11" s="30"/>
      <c r="K11" s="30"/>
      <c r="L11" s="30"/>
      <c r="M11" s="30" t="s">
        <v>153</v>
      </c>
      <c r="N11" s="30"/>
      <c r="O11" s="30"/>
      <c r="P11" s="30"/>
      <c r="Q11" s="30"/>
      <c r="R11" s="30"/>
      <c r="S11" s="30"/>
    </row>
    <row r="12" spans="1:21" ht="27" customHeight="1" thickTop="1" thickBot="1" x14ac:dyDescent="0.2">
      <c r="A12" s="24"/>
      <c r="B12" s="209" t="s">
        <v>207</v>
      </c>
      <c r="C12" s="210"/>
      <c r="D12" s="211"/>
      <c r="E12" s="24"/>
      <c r="F12" s="204" t="s">
        <v>154</v>
      </c>
      <c r="G12" s="204"/>
      <c r="H12" s="99" t="s">
        <v>155</v>
      </c>
      <c r="I12" s="99" t="s">
        <v>156</v>
      </c>
      <c r="J12" s="208" t="s">
        <v>28</v>
      </c>
      <c r="K12" s="202"/>
      <c r="L12" s="60" t="s">
        <v>168</v>
      </c>
      <c r="M12" s="99" t="s">
        <v>151</v>
      </c>
      <c r="N12" s="99" t="s">
        <v>157</v>
      </c>
      <c r="O12" s="201" t="s">
        <v>58</v>
      </c>
      <c r="P12" s="202"/>
      <c r="Q12" s="99"/>
      <c r="R12" s="99"/>
      <c r="S12" s="30"/>
    </row>
    <row r="13" spans="1:21" ht="27" customHeight="1" thickTop="1" thickBot="1" x14ac:dyDescent="0.2">
      <c r="A13" s="24"/>
      <c r="B13" s="36">
        <v>1</v>
      </c>
      <c r="C13" s="37" t="s">
        <v>18</v>
      </c>
      <c r="D13" s="38" t="s">
        <v>16</v>
      </c>
      <c r="E13" s="42">
        <v>1</v>
      </c>
      <c r="F13" s="204" t="s">
        <v>29</v>
      </c>
      <c r="G13" s="204"/>
      <c r="H13" s="62"/>
      <c r="I13" s="62"/>
      <c r="J13" s="63"/>
      <c r="K13" s="67" t="str">
        <f>IF(J13="","",VLOOKUP(J13,$O$6:$P$10,2,0))</f>
        <v/>
      </c>
      <c r="L13" s="62"/>
      <c r="M13" s="62"/>
      <c r="N13" s="64"/>
      <c r="O13" s="63"/>
      <c r="P13" s="67" t="str">
        <f>IF(O13="","",VLOOKUP(O13,$O$6:$P$10,2,0))</f>
        <v/>
      </c>
      <c r="Q13" s="62"/>
      <c r="R13" s="62"/>
      <c r="S13" s="30"/>
    </row>
    <row r="14" spans="1:21" ht="27" customHeight="1" thickBot="1" x14ac:dyDescent="0.2">
      <c r="A14" s="24"/>
      <c r="B14" s="39">
        <v>2</v>
      </c>
      <c r="C14" s="40" t="s">
        <v>19</v>
      </c>
      <c r="D14" s="41" t="s">
        <v>16</v>
      </c>
      <c r="E14" s="24"/>
      <c r="F14" s="204" t="s">
        <v>158</v>
      </c>
      <c r="G14" s="204"/>
      <c r="H14" s="99" t="s">
        <v>155</v>
      </c>
      <c r="I14" s="99" t="s">
        <v>156</v>
      </c>
      <c r="J14" s="212" t="s">
        <v>28</v>
      </c>
      <c r="K14" s="202"/>
      <c r="L14" s="60"/>
      <c r="M14" s="99" t="s">
        <v>151</v>
      </c>
      <c r="N14" s="99" t="s">
        <v>157</v>
      </c>
      <c r="O14" s="201" t="s">
        <v>58</v>
      </c>
      <c r="P14" s="202"/>
      <c r="Q14" s="99"/>
      <c r="R14" s="99"/>
      <c r="S14" s="30"/>
    </row>
    <row r="15" spans="1:21" ht="27" customHeight="1" thickBot="1" x14ac:dyDescent="0.2">
      <c r="A15" s="24"/>
      <c r="B15" s="39">
        <v>3</v>
      </c>
      <c r="C15" s="40" t="s">
        <v>20</v>
      </c>
      <c r="D15" s="41" t="s">
        <v>16</v>
      </c>
      <c r="E15" s="42">
        <v>2</v>
      </c>
      <c r="F15" s="204" t="s">
        <v>29</v>
      </c>
      <c r="G15" s="204"/>
      <c r="H15" s="62"/>
      <c r="I15" s="62"/>
      <c r="J15" s="63"/>
      <c r="K15" s="67" t="str">
        <f>IF(J15="","",VLOOKUP(J15,$O$6:$P$10,2,0))</f>
        <v/>
      </c>
      <c r="L15" s="62"/>
      <c r="M15" s="62"/>
      <c r="N15" s="64"/>
      <c r="O15" s="63"/>
      <c r="P15" s="67" t="str">
        <f>IF(O15="","",VLOOKUP(O15,$O$6:$P$10,2,0))</f>
        <v/>
      </c>
      <c r="Q15" s="62"/>
      <c r="R15" s="62"/>
      <c r="S15" s="30"/>
    </row>
    <row r="16" spans="1:21" ht="27" customHeight="1" thickBot="1" x14ac:dyDescent="0.2">
      <c r="A16" s="24"/>
      <c r="B16" s="39">
        <v>4</v>
      </c>
      <c r="C16" s="40" t="s">
        <v>21</v>
      </c>
      <c r="D16" s="41" t="s">
        <v>16</v>
      </c>
      <c r="E16" s="24"/>
      <c r="F16" s="204" t="s">
        <v>169</v>
      </c>
      <c r="G16" s="204"/>
      <c r="H16" s="99" t="s">
        <v>155</v>
      </c>
      <c r="I16" s="99" t="s">
        <v>156</v>
      </c>
      <c r="J16" s="212" t="s">
        <v>28</v>
      </c>
      <c r="K16" s="202"/>
      <c r="L16" s="60"/>
      <c r="M16" s="99" t="s">
        <v>151</v>
      </c>
      <c r="N16" s="99" t="s">
        <v>157</v>
      </c>
      <c r="O16" s="201" t="s">
        <v>58</v>
      </c>
      <c r="P16" s="202"/>
      <c r="Q16" s="99"/>
      <c r="R16" s="99"/>
      <c r="S16" s="30"/>
    </row>
    <row r="17" spans="1:22" ht="27" customHeight="1" thickBot="1" x14ac:dyDescent="0.2">
      <c r="A17" s="24"/>
      <c r="B17" s="39">
        <v>5</v>
      </c>
      <c r="C17" s="40" t="s">
        <v>22</v>
      </c>
      <c r="D17" s="41" t="s">
        <v>16</v>
      </c>
      <c r="E17" s="42">
        <v>3</v>
      </c>
      <c r="F17" s="204" t="s">
        <v>29</v>
      </c>
      <c r="G17" s="204"/>
      <c r="H17" s="62"/>
      <c r="I17" s="62"/>
      <c r="J17" s="63"/>
      <c r="K17" s="67" t="str">
        <f>IF(J17="","",VLOOKUP(J17,$O$6:$P$10,2,0))</f>
        <v/>
      </c>
      <c r="L17" s="62"/>
      <c r="M17" s="62"/>
      <c r="N17" s="64"/>
      <c r="O17" s="63"/>
      <c r="P17" s="67" t="str">
        <f>IF(O17="","",VLOOKUP(O17,$O$6:$P$10,2,0))</f>
        <v/>
      </c>
      <c r="Q17" s="62"/>
      <c r="R17" s="62"/>
      <c r="S17" s="30"/>
    </row>
    <row r="18" spans="1:22" ht="27" customHeight="1" thickBot="1" x14ac:dyDescent="0.2">
      <c r="A18" s="24"/>
      <c r="B18" s="43">
        <v>6</v>
      </c>
      <c r="C18" s="44" t="s">
        <v>23</v>
      </c>
      <c r="D18" s="45" t="s">
        <v>16</v>
      </c>
      <c r="E18" s="24"/>
      <c r="F18" s="204" t="s">
        <v>170</v>
      </c>
      <c r="G18" s="204"/>
      <c r="H18" s="99" t="s">
        <v>155</v>
      </c>
      <c r="I18" s="99" t="s">
        <v>159</v>
      </c>
      <c r="J18" s="208" t="s">
        <v>28</v>
      </c>
      <c r="K18" s="202"/>
      <c r="L18" s="60"/>
      <c r="M18" s="99" t="s">
        <v>151</v>
      </c>
      <c r="N18" s="99" t="s">
        <v>157</v>
      </c>
      <c r="O18" s="201" t="s">
        <v>58</v>
      </c>
      <c r="P18" s="202"/>
      <c r="Q18" s="99"/>
      <c r="R18" s="99"/>
      <c r="S18" s="30"/>
    </row>
    <row r="19" spans="1:22" ht="27" customHeight="1" thickTop="1" thickBot="1" x14ac:dyDescent="0.2">
      <c r="A19" s="24"/>
      <c r="B19" s="24"/>
      <c r="C19" s="24"/>
      <c r="D19" s="24"/>
      <c r="E19" s="42">
        <v>4</v>
      </c>
      <c r="F19" s="204" t="s">
        <v>29</v>
      </c>
      <c r="G19" s="204"/>
      <c r="H19" s="62"/>
      <c r="I19" s="62"/>
      <c r="J19" s="63"/>
      <c r="K19" s="67" t="str">
        <f>IF(J19="","",VLOOKUP(J19,$O$6:$P$10,2,0))</f>
        <v/>
      </c>
      <c r="L19" s="62"/>
      <c r="M19" s="62"/>
      <c r="N19" s="64"/>
      <c r="O19" s="63"/>
      <c r="P19" s="67" t="str">
        <f>IF(O19="","",VLOOKUP(O19,$O$6:$P$10,2,0))</f>
        <v/>
      </c>
      <c r="Q19" s="62"/>
      <c r="R19" s="62"/>
      <c r="S19" s="30"/>
    </row>
    <row r="20" spans="1:22" ht="21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2" spans="1:22" x14ac:dyDescent="0.15">
      <c r="U22" s="61">
        <v>28</v>
      </c>
      <c r="V22" s="61">
        <v>39</v>
      </c>
    </row>
    <row r="23" spans="1:22" x14ac:dyDescent="0.15">
      <c r="U23" s="61">
        <v>29</v>
      </c>
      <c r="V23" s="61">
        <v>40</v>
      </c>
    </row>
    <row r="24" spans="1:22" x14ac:dyDescent="0.15">
      <c r="U24" s="61">
        <v>30</v>
      </c>
      <c r="V24" s="61">
        <v>41</v>
      </c>
    </row>
    <row r="25" spans="1:22" x14ac:dyDescent="0.15">
      <c r="U25" s="61">
        <v>31</v>
      </c>
      <c r="V25" s="61">
        <v>42</v>
      </c>
    </row>
    <row r="26" spans="1:22" x14ac:dyDescent="0.15">
      <c r="U26" s="61">
        <v>32</v>
      </c>
      <c r="V26" s="61">
        <v>43</v>
      </c>
    </row>
    <row r="27" spans="1:22" x14ac:dyDescent="0.15">
      <c r="U27" s="61">
        <v>33</v>
      </c>
      <c r="V27" s="61">
        <v>44</v>
      </c>
    </row>
    <row r="28" spans="1:22" x14ac:dyDescent="0.15">
      <c r="U28" s="61">
        <v>34</v>
      </c>
      <c r="V28" s="61">
        <v>45</v>
      </c>
    </row>
    <row r="29" spans="1:22" x14ac:dyDescent="0.15">
      <c r="U29" s="61">
        <v>35</v>
      </c>
      <c r="V29" s="61">
        <v>46</v>
      </c>
    </row>
    <row r="30" spans="1:22" x14ac:dyDescent="0.15">
      <c r="U30" s="61">
        <v>36</v>
      </c>
      <c r="V30" s="61">
        <v>47</v>
      </c>
    </row>
    <row r="31" spans="1:22" x14ac:dyDescent="0.15">
      <c r="U31" s="61">
        <v>37</v>
      </c>
      <c r="V31" s="61">
        <v>48</v>
      </c>
    </row>
    <row r="32" spans="1:22" x14ac:dyDescent="0.15">
      <c r="U32" s="61">
        <v>38</v>
      </c>
      <c r="V32" s="61">
        <v>49</v>
      </c>
    </row>
    <row r="33" spans="21:22" x14ac:dyDescent="0.15">
      <c r="U33" s="61">
        <v>39</v>
      </c>
      <c r="V33" s="61">
        <v>50</v>
      </c>
    </row>
  </sheetData>
  <sheetProtection sheet="1" objects="1" scenarios="1"/>
  <mergeCells count="30">
    <mergeCell ref="F19:G19"/>
    <mergeCell ref="F15:G15"/>
    <mergeCell ref="F16:G16"/>
    <mergeCell ref="J16:K16"/>
    <mergeCell ref="F14:G14"/>
    <mergeCell ref="J14:K14"/>
    <mergeCell ref="O16:P16"/>
    <mergeCell ref="F17:G17"/>
    <mergeCell ref="F18:G18"/>
    <mergeCell ref="J18:K18"/>
    <mergeCell ref="O18:P18"/>
    <mergeCell ref="O14:P14"/>
    <mergeCell ref="F7:G7"/>
    <mergeCell ref="C8:D8"/>
    <mergeCell ref="F8:G8"/>
    <mergeCell ref="F9:G9"/>
    <mergeCell ref="H9:I9"/>
    <mergeCell ref="B10:C10"/>
    <mergeCell ref="F10:G10"/>
    <mergeCell ref="F11:G11"/>
    <mergeCell ref="F12:G12"/>
    <mergeCell ref="J12:K12"/>
    <mergeCell ref="O12:P12"/>
    <mergeCell ref="F13:G13"/>
    <mergeCell ref="B12:D12"/>
    <mergeCell ref="F5:G5"/>
    <mergeCell ref="H5:I5"/>
    <mergeCell ref="O5:P5"/>
    <mergeCell ref="F6:G6"/>
    <mergeCell ref="H6:I6"/>
  </mergeCells>
  <phoneticPr fontId="2"/>
  <dataValidations count="3">
    <dataValidation imeMode="off" allowBlank="1" showInputMessage="1" showErrorMessage="1" sqref="U7"/>
    <dataValidation imeMode="halfAlpha" allowBlank="1" showInputMessage="1" showErrorMessage="1" sqref="C2:C3 H10:H11 C8 M15:P15 O6:O10 M17:P17 M19:P19 J19:K19 J17:K17 J15:K15 J13:K13 M13:P13 H8"/>
    <dataValidation imeMode="hiragana" allowBlank="1" showInputMessage="1" showErrorMessage="1" sqref="Q13:R13 Q17:R17 Q19:R19 Q15:R15 H7 H12:I19 L13 L15 L17 L19 H5:I6 H9:I9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"/>
  <sheetViews>
    <sheetView workbookViewId="0">
      <pane ySplit="2" topLeftCell="A3" activePane="bottomLeft" state="frozen"/>
      <selection activeCell="B1" sqref="B1"/>
      <selection pane="bottomLeft" activeCell="I15" sqref="I15"/>
    </sheetView>
  </sheetViews>
  <sheetFormatPr defaultRowHeight="13.5" x14ac:dyDescent="0.15"/>
  <cols>
    <col min="1" max="1" width="3.875" style="1" customWidth="1"/>
    <col min="2" max="2" width="3.875" customWidth="1"/>
    <col min="3" max="3" width="3.875" style="1" customWidth="1"/>
    <col min="4" max="4" width="6.25" style="1" customWidth="1"/>
    <col min="5" max="5" width="20.25" style="1" customWidth="1"/>
    <col min="6" max="6" width="17.125" style="1" customWidth="1"/>
    <col min="7" max="8" width="10.5" style="1" customWidth="1"/>
    <col min="9" max="9" width="9.125" style="1" customWidth="1"/>
    <col min="10" max="10" width="5" style="1" customWidth="1"/>
    <col min="11" max="11" width="4.75" style="1" customWidth="1"/>
    <col min="12" max="12" width="9.125" style="1" customWidth="1"/>
    <col min="13" max="13" width="5" style="1" customWidth="1"/>
    <col min="14" max="14" width="4.75" style="1" customWidth="1"/>
    <col min="15" max="15" width="9.125" style="1" customWidth="1"/>
    <col min="16" max="16" width="5" style="1" customWidth="1"/>
    <col min="17" max="17" width="4.75" style="1" customWidth="1"/>
    <col min="18" max="21" width="9.125" style="1" customWidth="1"/>
    <col min="22" max="22" width="28" style="1" customWidth="1"/>
    <col min="23" max="23" width="11.25" style="1" customWidth="1"/>
    <col min="24" max="26" width="3.125" style="1" customWidth="1"/>
    <col min="27" max="27" width="15.375" style="1" customWidth="1"/>
    <col min="28" max="16384" width="9" style="1"/>
  </cols>
  <sheetData>
    <row r="1" spans="1:27" x14ac:dyDescent="0.15">
      <c r="A1" s="2"/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</row>
    <row r="2" spans="1:27" ht="14.25" thickBot="1" x14ac:dyDescent="0.2">
      <c r="A2" s="2">
        <v>1</v>
      </c>
      <c r="B2" s="181" t="s">
        <v>221</v>
      </c>
      <c r="C2" s="181" t="s">
        <v>222</v>
      </c>
      <c r="D2" s="182" t="s">
        <v>223</v>
      </c>
      <c r="E2" s="182" t="s">
        <v>63</v>
      </c>
      <c r="F2" s="182" t="s">
        <v>64</v>
      </c>
      <c r="G2" s="182" t="s">
        <v>65</v>
      </c>
      <c r="H2" s="182" t="s">
        <v>66</v>
      </c>
      <c r="I2" s="182" t="s">
        <v>67</v>
      </c>
      <c r="J2" s="182"/>
      <c r="K2" s="182" t="s">
        <v>68</v>
      </c>
      <c r="L2" s="182" t="s">
        <v>69</v>
      </c>
      <c r="M2" s="182"/>
      <c r="N2" s="182" t="s">
        <v>68</v>
      </c>
      <c r="O2" s="182" t="s">
        <v>41</v>
      </c>
      <c r="P2" s="182"/>
      <c r="Q2" s="182" t="s">
        <v>68</v>
      </c>
      <c r="R2" s="182" t="s">
        <v>70</v>
      </c>
      <c r="S2" s="182" t="s">
        <v>71</v>
      </c>
      <c r="T2" s="182" t="s">
        <v>72</v>
      </c>
      <c r="U2" s="182" t="s">
        <v>73</v>
      </c>
      <c r="V2" s="182" t="s">
        <v>74</v>
      </c>
      <c r="W2" s="182" t="s">
        <v>229</v>
      </c>
    </row>
    <row r="3" spans="1:27" s="59" customFormat="1" ht="38.25" customHeight="1" thickBot="1" x14ac:dyDescent="0.2">
      <c r="A3" s="213" t="s">
        <v>224</v>
      </c>
      <c r="B3" s="214"/>
      <c r="C3" s="215"/>
      <c r="D3" s="55">
        <f>メインシート!$C$8</f>
        <v>0</v>
      </c>
      <c r="E3" s="56">
        <f>メインシート!$H$6</f>
        <v>0</v>
      </c>
      <c r="F3" s="183"/>
      <c r="G3" s="183"/>
      <c r="H3" s="183"/>
      <c r="I3" s="56">
        <f>メインシート!$H$13</f>
        <v>0</v>
      </c>
      <c r="J3" s="56" t="str">
        <f>メインシート!$K$13</f>
        <v/>
      </c>
      <c r="K3" s="56">
        <f>メインシート!$L$13</f>
        <v>0</v>
      </c>
      <c r="L3" s="56">
        <f>メインシート!$H$15</f>
        <v>0</v>
      </c>
      <c r="M3" s="56" t="str">
        <f>メインシート!$K$15</f>
        <v/>
      </c>
      <c r="N3" s="56">
        <f>メインシート!$L$15</f>
        <v>0</v>
      </c>
      <c r="O3" s="56">
        <f>メインシート!$H$17</f>
        <v>0</v>
      </c>
      <c r="P3" s="56" t="str">
        <f>メインシート!$K$17</f>
        <v/>
      </c>
      <c r="Q3" s="56">
        <f>メインシート!$L$17</f>
        <v>0</v>
      </c>
      <c r="R3" s="56">
        <f>メインシート!$H$7</f>
        <v>0</v>
      </c>
      <c r="S3" s="56">
        <f>メインシート!$H$10</f>
        <v>0</v>
      </c>
      <c r="T3" s="56">
        <f>メインシート!$H$11</f>
        <v>0</v>
      </c>
      <c r="U3" s="56">
        <f>メインシート!$H$8</f>
        <v>0</v>
      </c>
      <c r="V3" s="56">
        <f>メインシート!$H$9</f>
        <v>0</v>
      </c>
      <c r="W3" s="57" t="e">
        <f>VLOOKUP($D3,メインシート!$B$13:$D$18,2,0)</f>
        <v>#N/A</v>
      </c>
      <c r="Y3" s="58"/>
      <c r="AA3" s="59">
        <f>メインシート!$H$5</f>
        <v>0</v>
      </c>
    </row>
    <row r="4" spans="1:27" s="59" customFormat="1" ht="38.25" customHeight="1" x14ac:dyDescent="0.15">
      <c r="A4" s="1"/>
      <c r="B4" s="1"/>
      <c r="C4" s="1"/>
      <c r="D4" s="1"/>
      <c r="E4" s="184" t="s">
        <v>225</v>
      </c>
      <c r="F4" s="185" t="s">
        <v>226</v>
      </c>
      <c r="G4" s="185" t="s">
        <v>227</v>
      </c>
      <c r="H4" s="185" t="s">
        <v>228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</sheetData>
  <sheetProtection sheet="1" objects="1" scenarios="1"/>
  <sortState ref="E204:AA246">
    <sortCondition ref="U204:U246"/>
  </sortState>
  <mergeCells count="1">
    <mergeCell ref="A3:C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51"/>
  <sheetViews>
    <sheetView zoomScaleNormal="100" workbookViewId="0">
      <selection activeCell="AF30" sqref="AF30:AF31"/>
    </sheetView>
  </sheetViews>
  <sheetFormatPr defaultRowHeight="13.5" outlineLevelCol="1" x14ac:dyDescent="0.15"/>
  <cols>
    <col min="1" max="1" width="9" style="105"/>
    <col min="2" max="2" width="14" style="123" customWidth="1"/>
    <col min="3" max="4" width="14.625" style="106" customWidth="1"/>
    <col min="5" max="6" width="22.5" style="106" customWidth="1"/>
    <col min="7" max="8" width="4.875" style="106" customWidth="1"/>
    <col min="9" max="9" width="12.625" style="106" customWidth="1"/>
    <col min="10" max="12" width="3.5" style="106" customWidth="1"/>
    <col min="13" max="13" width="4.875" style="106" hidden="1" customWidth="1" outlineLevel="1"/>
    <col min="14" max="14" width="3.375" style="106" hidden="1" customWidth="1" outlineLevel="1"/>
    <col min="15" max="18" width="4.875" style="106" hidden="1" customWidth="1" outlineLevel="1"/>
    <col min="19" max="19" width="7" style="106" hidden="1" customWidth="1" outlineLevel="1"/>
    <col min="20" max="20" width="2.25" style="106" customWidth="1" collapsed="1"/>
    <col min="21" max="21" width="4.875" style="106" customWidth="1"/>
    <col min="22" max="22" width="6.875" style="106" customWidth="1"/>
    <col min="23" max="23" width="8.125" style="106" customWidth="1"/>
    <col min="24" max="24" width="12.5" style="106" customWidth="1"/>
    <col min="25" max="28" width="9.375" style="106" customWidth="1"/>
    <col min="29" max="32" width="5.625" style="106" customWidth="1"/>
    <col min="33" max="33" width="5.5" style="106" customWidth="1"/>
    <col min="34" max="16384" width="9" style="105"/>
  </cols>
  <sheetData>
    <row r="1" spans="1:33" ht="15.75" customHeight="1" x14ac:dyDescent="0.15">
      <c r="B1" s="219">
        <f>メインシート!$C$6</f>
        <v>0</v>
      </c>
      <c r="C1" s="105"/>
      <c r="H1" s="75" t="s">
        <v>62</v>
      </c>
      <c r="I1" s="75" t="s">
        <v>29</v>
      </c>
      <c r="J1" s="75" t="s">
        <v>76</v>
      </c>
      <c r="K1" s="75" t="s">
        <v>107</v>
      </c>
      <c r="L1" s="75" t="s">
        <v>108</v>
      </c>
      <c r="U1" s="107" t="s">
        <v>92</v>
      </c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</row>
    <row r="2" spans="1:33" ht="15.75" customHeight="1" thickBot="1" x14ac:dyDescent="0.2">
      <c r="B2" s="220"/>
      <c r="C2" s="109" t="e">
        <f>IF($B$1="","",VLOOKUP($B$1,学校ﾏｽﾀｰ!#REF!,3,0))</f>
        <v>#REF!</v>
      </c>
      <c r="D2" s="108"/>
      <c r="E2" s="108"/>
      <c r="F2" s="110" t="s">
        <v>112</v>
      </c>
      <c r="G2" s="108"/>
      <c r="H2" s="111">
        <v>1</v>
      </c>
      <c r="I2" s="111" t="str">
        <f>IF(VLOOKUP(H2,名簿ﾏｽﾀｰ!$J$7:$K$56,2,0)="","",VLOOKUP(H2,名簿ﾏｽﾀｰ!$J$7:$K$56,2,0))</f>
        <v/>
      </c>
      <c r="J2" s="77" t="str">
        <f>IF(VLOOKUP(H2,名簿ﾏｽﾀｰ!$J$7:$Q$56,7,0)="","",VLOOKUP(H2,名簿ﾏｽﾀｰ!$J$7:$Q$56,7,0))</f>
        <v/>
      </c>
      <c r="K2" s="77" t="str">
        <f>IF(I2="","",IF(J2=1,COUNTIF(入力ﾌｫｰﾑ!$U$3:$U$10,$H2)+COUNTIF(入力ﾌｫｰﾑ!$U$20:$U$27,$H2),IF(J2=2,"")))</f>
        <v/>
      </c>
      <c r="L2" s="77" t="str">
        <f t="shared" ref="L2:L33" si="0">IF(I2="","",IF(J2=2,COUNTIF($U$13:$U$17,$H2)+COUNTIF($U$30:$U$37,$H2),IF(J2=1,"")))</f>
        <v/>
      </c>
      <c r="M2" s="112"/>
      <c r="N2" s="113" t="s">
        <v>176</v>
      </c>
      <c r="O2" s="113" t="s">
        <v>171</v>
      </c>
      <c r="P2" s="113" t="s">
        <v>172</v>
      </c>
      <c r="Q2" s="113" t="s">
        <v>173</v>
      </c>
      <c r="R2" s="113" t="s">
        <v>174</v>
      </c>
      <c r="S2" s="113" t="s">
        <v>175</v>
      </c>
      <c r="T2" s="114"/>
      <c r="U2" s="115" t="s">
        <v>113</v>
      </c>
      <c r="V2" s="116" t="s">
        <v>1</v>
      </c>
      <c r="W2" s="117" t="s">
        <v>80</v>
      </c>
      <c r="X2" s="116" t="s">
        <v>99</v>
      </c>
      <c r="Y2" s="116" t="s">
        <v>37</v>
      </c>
      <c r="Z2" s="116" t="s">
        <v>103</v>
      </c>
      <c r="AA2" s="116" t="s">
        <v>104</v>
      </c>
      <c r="AB2" s="116" t="s">
        <v>105</v>
      </c>
      <c r="AC2" s="116" t="s">
        <v>11</v>
      </c>
      <c r="AD2" s="116" t="s">
        <v>36</v>
      </c>
      <c r="AE2" s="116" t="s">
        <v>78</v>
      </c>
      <c r="AF2" s="116" t="s">
        <v>106</v>
      </c>
    </row>
    <row r="3" spans="1:33" ht="15.75" customHeight="1" x14ac:dyDescent="0.15">
      <c r="B3" s="118" t="s">
        <v>87</v>
      </c>
      <c r="C3" s="119" t="s">
        <v>29</v>
      </c>
      <c r="D3" s="119" t="s">
        <v>28</v>
      </c>
      <c r="E3" s="119" t="s">
        <v>89</v>
      </c>
      <c r="F3" s="221"/>
      <c r="G3" s="108"/>
      <c r="H3" s="111">
        <v>2</v>
      </c>
      <c r="I3" s="111" t="str">
        <f>IF(VLOOKUP(H3,名簿ﾏｽﾀｰ!$J$7:$K$56,2,0)="","",VLOOKUP(H3,名簿ﾏｽﾀｰ!$J$7:$K$56,2,0))</f>
        <v/>
      </c>
      <c r="J3" s="77" t="str">
        <f>IF(VLOOKUP(H3,名簿ﾏｽﾀｰ!$J$7:$Q$56,7,0)="","",VLOOKUP(H3,名簿ﾏｽﾀｰ!$J$7:$Q$56,7,0))</f>
        <v/>
      </c>
      <c r="K3" s="77" t="str">
        <f>IF(I3="","",IF(J3=1,COUNTIF(入力ﾌｫｰﾑ!$U$3:$U$10,$H3)+COUNTIF(入力ﾌｫｰﾑ!$U$20:$U$27,$H3),IF(J3=2,"")))</f>
        <v/>
      </c>
      <c r="L3" s="77" t="str">
        <f t="shared" si="0"/>
        <v/>
      </c>
      <c r="M3" s="108"/>
      <c r="N3" s="111">
        <v>1</v>
      </c>
      <c r="O3" s="120">
        <v>1</v>
      </c>
      <c r="P3" s="120">
        <f>メインシート!$C$8</f>
        <v>0</v>
      </c>
      <c r="Q3" s="120">
        <v>10</v>
      </c>
      <c r="R3" s="120">
        <f>$D$10</f>
        <v>0</v>
      </c>
      <c r="S3" s="120">
        <f>VALUE(CONCATENATE(O3,P3,Q3,R3))</f>
        <v>10100</v>
      </c>
      <c r="T3" s="108"/>
      <c r="U3" s="68"/>
      <c r="V3" s="116" t="s">
        <v>93</v>
      </c>
      <c r="W3" s="116" t="str">
        <f t="shared" ref="W3:W10" si="1">IF($U3="","",VALUE(CONCATENATE(S3,N3)))</f>
        <v/>
      </c>
      <c r="X3" s="116" t="str">
        <f>IF($U3="","",(VLOOKUP($U3,名簿ﾏｽﾀｰ!$B$7:$Q$56,10,0)))</f>
        <v/>
      </c>
      <c r="Y3" s="116" t="str">
        <f>IF($U3="","",(VLOOKUP($U3,名簿ﾏｽﾀｰ!$B$7:$Q$56,2,0)))</f>
        <v/>
      </c>
      <c r="Z3" s="116" t="str">
        <f>IF($U3="","",(VLOOKUP($U3,名簿ﾏｽﾀｰ!$B$7:$Q$56,3,0)))</f>
        <v/>
      </c>
      <c r="AA3" s="116" t="str">
        <f>IF($U3="","",(VLOOKUP($U3,名簿ﾏｽﾀｰ!$B$7:$Q$56,4,0)))</f>
        <v/>
      </c>
      <c r="AB3" s="116" t="str">
        <f>IF($U3="","",(VLOOKUP($U3,名簿ﾏｽﾀｰ!$B$7:$Q$56,5,0)))</f>
        <v/>
      </c>
      <c r="AC3" s="116" t="str">
        <f>IF($U3="","",(VLOOKUP($U3,名簿ﾏｽﾀｰ!$B$7:$Q$56,12,0)))</f>
        <v/>
      </c>
      <c r="AD3" s="116" t="str">
        <f>IF($U3="","",(VLOOKUP($U3,名簿ﾏｽﾀｰ!$B$7:$Q$56,13,0)))</f>
        <v/>
      </c>
      <c r="AE3" s="116" t="str">
        <f>IF($U3="","",(VLOOKUP($U3,名簿ﾏｽﾀｰ!$B$7:$Q$56,14,0)))</f>
        <v/>
      </c>
      <c r="AF3" s="132"/>
    </row>
    <row r="4" spans="1:33" ht="15.75" customHeight="1" x14ac:dyDescent="0.15">
      <c r="B4" s="121">
        <v>1</v>
      </c>
      <c r="C4" s="122" t="str">
        <f>IF(VLOOKUP($B4,メインシート!$E$13:$R$19,4,0)="","",VLOOKUP($B4,メインシート!$E$13:$R$19,4,0))</f>
        <v/>
      </c>
      <c r="D4" s="122" t="str">
        <f>IF(VLOOKUP($B4,メインシート!$E$13:$R$19,7,0)="","",VLOOKUP($B4,メインシート!$E$13:$R$19,7,0))</f>
        <v/>
      </c>
      <c r="E4" s="122" t="str">
        <f>IF(VLOOKUP($B4,メインシート!$E$13:$R$19,5,0)="","",VLOOKUP($B4,メインシート!$E$13:$R$19,5,0))</f>
        <v/>
      </c>
      <c r="F4" s="221"/>
      <c r="H4" s="111">
        <v>3</v>
      </c>
      <c r="I4" s="111" t="str">
        <f>IF(VLOOKUP(H4,名簿ﾏｽﾀｰ!$J$7:$K$56,2,0)="","",VLOOKUP(H4,名簿ﾏｽﾀｰ!$J$7:$K$56,2,0))</f>
        <v/>
      </c>
      <c r="J4" s="77" t="str">
        <f>IF(VLOOKUP(H4,名簿ﾏｽﾀｰ!$J$7:$Q$56,7,0)="","",VLOOKUP(H4,名簿ﾏｽﾀｰ!$J$7:$Q$56,7,0))</f>
        <v/>
      </c>
      <c r="K4" s="77" t="str">
        <f>IF(I4="","",IF(J4=1,COUNTIF(入力ﾌｫｰﾑ!$U$3:$U$10,$H4)+COUNTIF(入力ﾌｫｰﾑ!$U$20:$U$27,$H4),IF(J4=2,"")))</f>
        <v/>
      </c>
      <c r="L4" s="77" t="str">
        <f t="shared" si="0"/>
        <v/>
      </c>
      <c r="N4" s="111">
        <v>2</v>
      </c>
      <c r="O4" s="111">
        <f t="shared" ref="O4:S10" si="2">O3</f>
        <v>1</v>
      </c>
      <c r="P4" s="111">
        <f t="shared" si="2"/>
        <v>0</v>
      </c>
      <c r="Q4" s="111">
        <f t="shared" si="2"/>
        <v>10</v>
      </c>
      <c r="R4" s="111">
        <f t="shared" si="2"/>
        <v>0</v>
      </c>
      <c r="S4" s="111">
        <f t="shared" si="2"/>
        <v>10100</v>
      </c>
      <c r="U4" s="68"/>
      <c r="V4" s="116" t="s">
        <v>94</v>
      </c>
      <c r="W4" s="116" t="str">
        <f t="shared" si="1"/>
        <v/>
      </c>
      <c r="X4" s="116" t="str">
        <f>IF($U4="","",(VLOOKUP($U4,名簿ﾏｽﾀｰ!$B$7:$Q$56,10,0)))</f>
        <v/>
      </c>
      <c r="Y4" s="116" t="str">
        <f>IF($U4="","",(VLOOKUP($U4,名簿ﾏｽﾀｰ!$B$7:$Q$56,2,0)))</f>
        <v/>
      </c>
      <c r="Z4" s="116" t="str">
        <f>IF($U4="","",(VLOOKUP($U4,名簿ﾏｽﾀｰ!$B$7:$Q$56,3,0)))</f>
        <v/>
      </c>
      <c r="AA4" s="116" t="str">
        <f>IF($U4="","",(VLOOKUP($U4,名簿ﾏｽﾀｰ!$B$7:$Q$56,4,0)))</f>
        <v/>
      </c>
      <c r="AB4" s="116" t="str">
        <f>IF($U4="","",(VLOOKUP($U4,名簿ﾏｽﾀｰ!$B$7:$Q$56,5,0)))</f>
        <v/>
      </c>
      <c r="AC4" s="116" t="str">
        <f>IF($U4="","",(VLOOKUP($U4,名簿ﾏｽﾀｰ!$B$7:$Q$56,12,0)))</f>
        <v/>
      </c>
      <c r="AD4" s="116" t="str">
        <f>IF($U4="","",(VLOOKUP($U4,名簿ﾏｽﾀｰ!$B$7:$Q$56,13,0)))</f>
        <v/>
      </c>
      <c r="AE4" s="116" t="str">
        <f>IF($U4="","",(VLOOKUP($U4,名簿ﾏｽﾀｰ!$B$7:$Q$56,14,0)))</f>
        <v/>
      </c>
      <c r="AF4" s="132"/>
    </row>
    <row r="5" spans="1:33" ht="15.75" customHeight="1" x14ac:dyDescent="0.15">
      <c r="B5" s="121">
        <v>2</v>
      </c>
      <c r="C5" s="122" t="str">
        <f>IF(VLOOKUP($B5,メインシート!$E$13:$R$19,4,0)="","",VLOOKUP($B5,メインシート!$E$13:$R$19,4,0))</f>
        <v/>
      </c>
      <c r="D5" s="122" t="str">
        <f>IF(VLOOKUP($B5,メインシート!$E$13:$R$19,7,0)="","",VLOOKUP($B5,メインシート!$E$13:$R$19,7,0))</f>
        <v/>
      </c>
      <c r="E5" s="122" t="str">
        <f>IF(VLOOKUP($B5,メインシート!$E$13:$R$19,5,0)="","",VLOOKUP($B5,メインシート!$E$13:$R$19,5,0))</f>
        <v/>
      </c>
      <c r="F5" s="110" t="s">
        <v>197</v>
      </c>
      <c r="H5" s="111">
        <v>4</v>
      </c>
      <c r="I5" s="111" t="str">
        <f>IF(VLOOKUP(H5,名簿ﾏｽﾀｰ!$J$7:$K$56,2,0)="","",VLOOKUP(H5,名簿ﾏｽﾀｰ!$J$7:$K$56,2,0))</f>
        <v/>
      </c>
      <c r="J5" s="77" t="str">
        <f>IF(VLOOKUP(H5,名簿ﾏｽﾀｰ!$J$7:$Q$56,7,0)="","",VLOOKUP(H5,名簿ﾏｽﾀｰ!$J$7:$Q$56,7,0))</f>
        <v/>
      </c>
      <c r="K5" s="77" t="str">
        <f>IF(I5="","",IF(J5=1,COUNTIF(入力ﾌｫｰﾑ!$U$3:$U$10,$H5)+COUNTIF(入力ﾌｫｰﾑ!$U$20:$U$27,$H5),IF(J5=2,"")))</f>
        <v/>
      </c>
      <c r="L5" s="77" t="str">
        <f t="shared" si="0"/>
        <v/>
      </c>
      <c r="N5" s="111">
        <v>3</v>
      </c>
      <c r="O5" s="111">
        <f t="shared" si="2"/>
        <v>1</v>
      </c>
      <c r="P5" s="111">
        <f t="shared" si="2"/>
        <v>0</v>
      </c>
      <c r="Q5" s="111">
        <f t="shared" si="2"/>
        <v>10</v>
      </c>
      <c r="R5" s="111">
        <f t="shared" si="2"/>
        <v>0</v>
      </c>
      <c r="S5" s="111">
        <f t="shared" si="2"/>
        <v>10100</v>
      </c>
      <c r="U5" s="68"/>
      <c r="V5" s="116" t="s">
        <v>95</v>
      </c>
      <c r="W5" s="116" t="str">
        <f t="shared" si="1"/>
        <v/>
      </c>
      <c r="X5" s="116" t="str">
        <f>IF($U5="","",(VLOOKUP($U5,名簿ﾏｽﾀｰ!$B$7:$Q$56,10,0)))</f>
        <v/>
      </c>
      <c r="Y5" s="116" t="str">
        <f>IF($U5="","",(VLOOKUP($U5,名簿ﾏｽﾀｰ!$B$7:$Q$56,2,0)))</f>
        <v/>
      </c>
      <c r="Z5" s="116" t="str">
        <f>IF($U5="","",(VLOOKUP($U5,名簿ﾏｽﾀｰ!$B$7:$Q$56,3,0)))</f>
        <v/>
      </c>
      <c r="AA5" s="116" t="str">
        <f>IF($U5="","",(VLOOKUP($U5,名簿ﾏｽﾀｰ!$B$7:$Q$56,4,0)))</f>
        <v/>
      </c>
      <c r="AB5" s="116" t="str">
        <f>IF($U5="","",(VLOOKUP($U5,名簿ﾏｽﾀｰ!$B$7:$Q$56,5,0)))</f>
        <v/>
      </c>
      <c r="AC5" s="116" t="str">
        <f>IF($U5="","",(VLOOKUP($U5,名簿ﾏｽﾀｰ!$B$7:$Q$56,12,0)))</f>
        <v/>
      </c>
      <c r="AD5" s="116" t="str">
        <f>IF($U5="","",(VLOOKUP($U5,名簿ﾏｽﾀｰ!$B$7:$Q$56,13,0)))</f>
        <v/>
      </c>
      <c r="AE5" s="116" t="str">
        <f>IF($U5="","",(VLOOKUP($U5,名簿ﾏｽﾀｰ!$B$7:$Q$56,14,0)))</f>
        <v/>
      </c>
      <c r="AF5" s="132"/>
    </row>
    <row r="6" spans="1:33" ht="15.75" customHeight="1" x14ac:dyDescent="0.15">
      <c r="B6" s="121">
        <v>3</v>
      </c>
      <c r="C6" s="122" t="str">
        <f>IF(VLOOKUP($B6,メインシート!$E$13:$R$19,4,0)="","",VLOOKUP($B6,メインシート!$E$13:$R$19,4,0))</f>
        <v/>
      </c>
      <c r="D6" s="122" t="str">
        <f>IF(VLOOKUP($B6,メインシート!$E$13:$R$19,7,0)="","",VLOOKUP($B6,メインシート!$E$13:$R$19,7,0))</f>
        <v/>
      </c>
      <c r="E6" s="122" t="str">
        <f>IF(VLOOKUP($B6,メインシート!$E$13:$R$19,5,0)="","",VLOOKUP($B6,メインシート!$E$13:$R$19,5,0))</f>
        <v/>
      </c>
      <c r="F6" s="221"/>
      <c r="H6" s="111">
        <v>5</v>
      </c>
      <c r="I6" s="111" t="str">
        <f>IF(VLOOKUP(H6,名簿ﾏｽﾀｰ!$J$7:$K$56,2,0)="","",VLOOKUP(H6,名簿ﾏｽﾀｰ!$J$7:$K$56,2,0))</f>
        <v/>
      </c>
      <c r="J6" s="77" t="str">
        <f>IF(VLOOKUP(H6,名簿ﾏｽﾀｰ!$J$7:$Q$56,7,0)="","",VLOOKUP(H6,名簿ﾏｽﾀｰ!$J$7:$Q$56,7,0))</f>
        <v/>
      </c>
      <c r="K6" s="77" t="str">
        <f>IF(I6="","",IF(J6=1,COUNTIF(入力ﾌｫｰﾑ!$U$3:$U$10,$H6)+COUNTIF(入力ﾌｫｰﾑ!$U$20:$U$27,$H6),IF(J6=2,"")))</f>
        <v/>
      </c>
      <c r="L6" s="77" t="str">
        <f t="shared" si="0"/>
        <v/>
      </c>
      <c r="N6" s="111">
        <v>4</v>
      </c>
      <c r="O6" s="111">
        <f t="shared" si="2"/>
        <v>1</v>
      </c>
      <c r="P6" s="111">
        <f t="shared" si="2"/>
        <v>0</v>
      </c>
      <c r="Q6" s="111">
        <f t="shared" si="2"/>
        <v>10</v>
      </c>
      <c r="R6" s="111">
        <f t="shared" si="2"/>
        <v>0</v>
      </c>
      <c r="S6" s="111">
        <f t="shared" si="2"/>
        <v>10100</v>
      </c>
      <c r="U6" s="68"/>
      <c r="V6" s="116" t="s">
        <v>96</v>
      </c>
      <c r="W6" s="116" t="str">
        <f t="shared" si="1"/>
        <v/>
      </c>
      <c r="X6" s="116" t="str">
        <f>IF($U6="","",(VLOOKUP($U6,名簿ﾏｽﾀｰ!$B$7:$Q$56,10,0)))</f>
        <v/>
      </c>
      <c r="Y6" s="116" t="str">
        <f>IF($U6="","",(VLOOKUP($U6,名簿ﾏｽﾀｰ!$B$7:$Q$56,2,0)))</f>
        <v/>
      </c>
      <c r="Z6" s="116" t="str">
        <f>IF($U6="","",(VLOOKUP($U6,名簿ﾏｽﾀｰ!$B$7:$Q$56,3,0)))</f>
        <v/>
      </c>
      <c r="AA6" s="116" t="str">
        <f>IF($U6="","",(VLOOKUP($U6,名簿ﾏｽﾀｰ!$B$7:$Q$56,4,0)))</f>
        <v/>
      </c>
      <c r="AB6" s="116" t="str">
        <f>IF($U6="","",(VLOOKUP($U6,名簿ﾏｽﾀｰ!$B$7:$Q$56,5,0)))</f>
        <v/>
      </c>
      <c r="AC6" s="116" t="str">
        <f>IF($U6="","",(VLOOKUP($U6,名簿ﾏｽﾀｰ!$B$7:$Q$56,12,0)))</f>
        <v/>
      </c>
      <c r="AD6" s="116" t="str">
        <f>IF($U6="","",(VLOOKUP($U6,名簿ﾏｽﾀｰ!$B$7:$Q$56,13,0)))</f>
        <v/>
      </c>
      <c r="AE6" s="116" t="str">
        <f>IF($U6="","",(VLOOKUP($U6,名簿ﾏｽﾀｰ!$B$7:$Q$56,14,0)))</f>
        <v/>
      </c>
      <c r="AF6" s="132"/>
    </row>
    <row r="7" spans="1:33" ht="15.75" customHeight="1" x14ac:dyDescent="0.15">
      <c r="B7" s="121">
        <v>4</v>
      </c>
      <c r="C7" s="122" t="str">
        <f>IF(VLOOKUP($B7,メインシート!$E$13:$R$19,4,0)="","",VLOOKUP($B7,メインシート!$E$13:$R$19,4,0))</f>
        <v/>
      </c>
      <c r="D7" s="122" t="str">
        <f>IF(VLOOKUP($B7,メインシート!$E$13:$R$19,7,0)="","",VLOOKUP($B7,メインシート!$E$13:$R$19,7,0))</f>
        <v/>
      </c>
      <c r="E7" s="122" t="str">
        <f>IF(VLOOKUP($B7,メインシート!$E$13:$R$19,5,0)="","",VLOOKUP($B7,メインシート!$E$13:$R$19,5,0))</f>
        <v/>
      </c>
      <c r="F7" s="221"/>
      <c r="H7" s="111">
        <v>6</v>
      </c>
      <c r="I7" s="111" t="str">
        <f>IF(VLOOKUP(H7,名簿ﾏｽﾀｰ!$J$7:$K$56,2,0)="","",VLOOKUP(H7,名簿ﾏｽﾀｰ!$J$7:$K$56,2,0))</f>
        <v/>
      </c>
      <c r="J7" s="77" t="str">
        <f>IF(VLOOKUP(H7,名簿ﾏｽﾀｰ!$J$7:$Q$56,7,0)="","",VLOOKUP(H7,名簿ﾏｽﾀｰ!$J$7:$Q$56,7,0))</f>
        <v/>
      </c>
      <c r="K7" s="77" t="str">
        <f>IF(I7="","",IF(J7=1,COUNTIF(入力ﾌｫｰﾑ!$U$3:$U$10,$H7)+COUNTIF(入力ﾌｫｰﾑ!$U$20:$U$27,$H7),IF(J7=2,"")))</f>
        <v/>
      </c>
      <c r="L7" s="77" t="str">
        <f t="shared" si="0"/>
        <v/>
      </c>
      <c r="N7" s="111">
        <v>5</v>
      </c>
      <c r="O7" s="111">
        <f t="shared" si="2"/>
        <v>1</v>
      </c>
      <c r="P7" s="111">
        <f t="shared" si="2"/>
        <v>0</v>
      </c>
      <c r="Q7" s="111">
        <f t="shared" si="2"/>
        <v>10</v>
      </c>
      <c r="R7" s="111">
        <f t="shared" si="2"/>
        <v>0</v>
      </c>
      <c r="S7" s="111">
        <f t="shared" si="2"/>
        <v>10100</v>
      </c>
      <c r="U7" s="68"/>
      <c r="V7" s="116" t="s">
        <v>86</v>
      </c>
      <c r="W7" s="116" t="str">
        <f t="shared" si="1"/>
        <v/>
      </c>
      <c r="X7" s="116" t="str">
        <f>IF($U7="","",(VLOOKUP($U7,名簿ﾏｽﾀｰ!$B$7:$Q$56,10,0)))</f>
        <v/>
      </c>
      <c r="Y7" s="116" t="str">
        <f>IF($U7="","",(VLOOKUP($U7,名簿ﾏｽﾀｰ!$B$7:$Q$56,2,0)))</f>
        <v/>
      </c>
      <c r="Z7" s="116" t="str">
        <f>IF($U7="","",(VLOOKUP($U7,名簿ﾏｽﾀｰ!$B$7:$Q$56,3,0)))</f>
        <v/>
      </c>
      <c r="AA7" s="116" t="str">
        <f>IF($U7="","",(VLOOKUP($U7,名簿ﾏｽﾀｰ!$B$7:$Q$56,4,0)))</f>
        <v/>
      </c>
      <c r="AB7" s="116" t="str">
        <f>IF($U7="","",(VLOOKUP($U7,名簿ﾏｽﾀｰ!$B$7:$Q$56,5,0)))</f>
        <v/>
      </c>
      <c r="AC7" s="116" t="str">
        <f>IF($U7="","",(VLOOKUP($U7,名簿ﾏｽﾀｰ!$B$7:$Q$56,12,0)))</f>
        <v/>
      </c>
      <c r="AD7" s="116" t="str">
        <f>IF($U7="","",(VLOOKUP($U7,名簿ﾏｽﾀｰ!$B$7:$Q$56,13,0)))</f>
        <v/>
      </c>
      <c r="AE7" s="116" t="str">
        <f>IF($U7="","",(VLOOKUP($U7,名簿ﾏｽﾀｰ!$B$7:$Q$56,14,0)))</f>
        <v/>
      </c>
      <c r="AF7" s="132"/>
    </row>
    <row r="8" spans="1:33" ht="15.75" customHeight="1" x14ac:dyDescent="0.15">
      <c r="H8" s="111">
        <v>7</v>
      </c>
      <c r="I8" s="111" t="str">
        <f>IF(VLOOKUP(H8,名簿ﾏｽﾀｰ!$J$7:$K$56,2,0)="","",VLOOKUP(H8,名簿ﾏｽﾀｰ!$J$7:$K$56,2,0))</f>
        <v/>
      </c>
      <c r="J8" s="77" t="str">
        <f>IF(VLOOKUP(H8,名簿ﾏｽﾀｰ!$J$7:$Q$56,7,0)="","",VLOOKUP(H8,名簿ﾏｽﾀｰ!$J$7:$Q$56,7,0))</f>
        <v/>
      </c>
      <c r="K8" s="77" t="str">
        <f>IF(I8="","",IF(J8=1,COUNTIF(入力ﾌｫｰﾑ!$U$3:$U$10,$H8)+COUNTIF(入力ﾌｫｰﾑ!$U$20:$U$27,$H8),IF(J8=2,"")))</f>
        <v/>
      </c>
      <c r="L8" s="77" t="str">
        <f t="shared" si="0"/>
        <v/>
      </c>
      <c r="N8" s="111">
        <v>6</v>
      </c>
      <c r="O8" s="111">
        <f t="shared" si="2"/>
        <v>1</v>
      </c>
      <c r="P8" s="111">
        <f t="shared" si="2"/>
        <v>0</v>
      </c>
      <c r="Q8" s="111">
        <f t="shared" si="2"/>
        <v>10</v>
      </c>
      <c r="R8" s="111">
        <f t="shared" si="2"/>
        <v>0</v>
      </c>
      <c r="S8" s="111">
        <f t="shared" si="2"/>
        <v>10100</v>
      </c>
      <c r="U8" s="68"/>
      <c r="V8" s="116" t="s">
        <v>100</v>
      </c>
      <c r="W8" s="116" t="str">
        <f t="shared" si="1"/>
        <v/>
      </c>
      <c r="X8" s="116" t="str">
        <f>IF($U8="","",(VLOOKUP($U8,名簿ﾏｽﾀｰ!$B$7:$Q$56,10,0)))</f>
        <v/>
      </c>
      <c r="Y8" s="116" t="str">
        <f>IF($U8="","",(VLOOKUP($U8,名簿ﾏｽﾀｰ!$B$7:$Q$56,2,0)))</f>
        <v/>
      </c>
      <c r="Z8" s="116" t="str">
        <f>IF($U8="","",(VLOOKUP($U8,名簿ﾏｽﾀｰ!$B$7:$Q$56,3,0)))</f>
        <v/>
      </c>
      <c r="AA8" s="116" t="str">
        <f>IF($U8="","",(VLOOKUP($U8,名簿ﾏｽﾀｰ!$B$7:$Q$56,4,0)))</f>
        <v/>
      </c>
      <c r="AB8" s="116" t="str">
        <f>IF($U8="","",(VLOOKUP($U8,名簿ﾏｽﾀｰ!$B$7:$Q$56,5,0)))</f>
        <v/>
      </c>
      <c r="AC8" s="116" t="str">
        <f>IF($U8="","",(VLOOKUP($U8,名簿ﾏｽﾀｰ!$B$7:$Q$56,12,0)))</f>
        <v/>
      </c>
      <c r="AD8" s="116" t="str">
        <f>IF($U8="","",(VLOOKUP($U8,名簿ﾏｽﾀｰ!$B$7:$Q$56,13,0)))</f>
        <v/>
      </c>
      <c r="AE8" s="116" t="str">
        <f>IF($U8="","",(VLOOKUP($U8,名簿ﾏｽﾀｰ!$B$7:$Q$56,14,0)))</f>
        <v/>
      </c>
      <c r="AF8" s="132"/>
    </row>
    <row r="9" spans="1:33" ht="15.75" customHeight="1" x14ac:dyDescent="0.15">
      <c r="B9" s="216" t="s">
        <v>52</v>
      </c>
      <c r="C9" s="124" t="s">
        <v>88</v>
      </c>
      <c r="D9" s="125" t="s">
        <v>79</v>
      </c>
      <c r="E9" s="218" t="s">
        <v>90</v>
      </c>
      <c r="F9" s="218" t="s">
        <v>91</v>
      </c>
      <c r="H9" s="111">
        <v>8</v>
      </c>
      <c r="I9" s="111" t="str">
        <f>IF(VLOOKUP(H9,名簿ﾏｽﾀｰ!$J$7:$K$56,2,0)="","",VLOOKUP(H9,名簿ﾏｽﾀｰ!$J$7:$K$56,2,0))</f>
        <v/>
      </c>
      <c r="J9" s="77" t="str">
        <f>IF(VLOOKUP(H9,名簿ﾏｽﾀｰ!$J$7:$Q$56,7,0)="","",VLOOKUP(H9,名簿ﾏｽﾀｰ!$J$7:$Q$56,7,0))</f>
        <v/>
      </c>
      <c r="K9" s="77" t="str">
        <f>IF(I9="","",IF(J9=1,COUNTIF(入力ﾌｫｰﾑ!$U$3:$U$10,$H9)+COUNTIF(入力ﾌｫｰﾑ!$U$20:$U$27,$H9),IF(J9=2,"")))</f>
        <v/>
      </c>
      <c r="L9" s="77" t="str">
        <f t="shared" si="0"/>
        <v/>
      </c>
      <c r="N9" s="111">
        <v>7</v>
      </c>
      <c r="O9" s="111">
        <f t="shared" si="2"/>
        <v>1</v>
      </c>
      <c r="P9" s="111">
        <f t="shared" si="2"/>
        <v>0</v>
      </c>
      <c r="Q9" s="111">
        <f t="shared" si="2"/>
        <v>10</v>
      </c>
      <c r="R9" s="111">
        <f t="shared" si="2"/>
        <v>0</v>
      </c>
      <c r="S9" s="111">
        <f t="shared" si="2"/>
        <v>10100</v>
      </c>
      <c r="U9" s="68"/>
      <c r="V9" s="116" t="s">
        <v>101</v>
      </c>
      <c r="W9" s="116" t="str">
        <f t="shared" si="1"/>
        <v/>
      </c>
      <c r="X9" s="116" t="str">
        <f>IF($U9="","",(VLOOKUP($U9,名簿ﾏｽﾀｰ!$B$7:$Q$56,10,0)))</f>
        <v/>
      </c>
      <c r="Y9" s="116" t="str">
        <f>IF($U9="","",(VLOOKUP($U9,名簿ﾏｽﾀｰ!$B$7:$Q$56,2,0)))</f>
        <v/>
      </c>
      <c r="Z9" s="116" t="str">
        <f>IF($U9="","",(VLOOKUP($U9,名簿ﾏｽﾀｰ!$B$7:$Q$56,3,0)))</f>
        <v/>
      </c>
      <c r="AA9" s="116" t="str">
        <f>IF($U9="","",(VLOOKUP($U9,名簿ﾏｽﾀｰ!$B$7:$Q$56,4,0)))</f>
        <v/>
      </c>
      <c r="AB9" s="116" t="str">
        <f>IF($U9="","",(VLOOKUP($U9,名簿ﾏｽﾀｰ!$B$7:$Q$56,5,0)))</f>
        <v/>
      </c>
      <c r="AC9" s="116" t="str">
        <f>IF($U9="","",(VLOOKUP($U9,名簿ﾏｽﾀｰ!$B$7:$Q$56,12,0)))</f>
        <v/>
      </c>
      <c r="AD9" s="116" t="str">
        <f>IF($U9="","",(VLOOKUP($U9,名簿ﾏｽﾀｰ!$B$7:$Q$56,13,0)))</f>
        <v/>
      </c>
      <c r="AE9" s="116" t="str">
        <f>IF($U9="","",(VLOOKUP($U9,名簿ﾏｽﾀｰ!$B$7:$Q$56,14,0)))</f>
        <v/>
      </c>
      <c r="AF9" s="132"/>
    </row>
    <row r="10" spans="1:33" ht="15.75" customHeight="1" x14ac:dyDescent="0.15">
      <c r="B10" s="217"/>
      <c r="C10" s="69"/>
      <c r="D10" s="70"/>
      <c r="E10" s="218"/>
      <c r="F10" s="218"/>
      <c r="H10" s="111">
        <v>9</v>
      </c>
      <c r="I10" s="111" t="str">
        <f>IF(VLOOKUP(H10,名簿ﾏｽﾀｰ!$J$7:$K$56,2,0)="","",VLOOKUP(H10,名簿ﾏｽﾀｰ!$J$7:$K$56,2,0))</f>
        <v/>
      </c>
      <c r="J10" s="77" t="str">
        <f>IF(VLOOKUP(H10,名簿ﾏｽﾀｰ!$J$7:$Q$56,7,0)="","",VLOOKUP(H10,名簿ﾏｽﾀｰ!$J$7:$Q$56,7,0))</f>
        <v/>
      </c>
      <c r="K10" s="77" t="str">
        <f>IF(I10="","",IF(J10=1,COUNTIF(入力ﾌｫｰﾑ!$U$3:$U$10,$H10)+COUNTIF(入力ﾌｫｰﾑ!$U$20:$U$27,$H10),IF(J10=2,"")))</f>
        <v/>
      </c>
      <c r="L10" s="77" t="str">
        <f t="shared" si="0"/>
        <v/>
      </c>
      <c r="N10" s="111">
        <v>8</v>
      </c>
      <c r="O10" s="111">
        <f t="shared" si="2"/>
        <v>1</v>
      </c>
      <c r="P10" s="111">
        <f t="shared" si="2"/>
        <v>0</v>
      </c>
      <c r="Q10" s="111">
        <f t="shared" si="2"/>
        <v>10</v>
      </c>
      <c r="R10" s="111">
        <f t="shared" si="2"/>
        <v>0</v>
      </c>
      <c r="S10" s="111">
        <f t="shared" si="2"/>
        <v>10100</v>
      </c>
      <c r="U10" s="68"/>
      <c r="V10" s="116" t="s">
        <v>102</v>
      </c>
      <c r="W10" s="116" t="str">
        <f t="shared" si="1"/>
        <v/>
      </c>
      <c r="X10" s="116" t="str">
        <f>IF($U10="","",(VLOOKUP($U10,名簿ﾏｽﾀｰ!$B$7:$Q$56,10,0)))</f>
        <v/>
      </c>
      <c r="Y10" s="116" t="str">
        <f>IF($U10="","",(VLOOKUP($U10,名簿ﾏｽﾀｰ!$B$7:$Q$56,2,0)))</f>
        <v/>
      </c>
      <c r="Z10" s="116" t="str">
        <f>IF($U10="","",(VLOOKUP($U10,名簿ﾏｽﾀｰ!$B$7:$Q$56,3,0)))</f>
        <v/>
      </c>
      <c r="AA10" s="116" t="str">
        <f>IF($U10="","",(VLOOKUP($U10,名簿ﾏｽﾀｰ!$B$7:$Q$56,4,0)))</f>
        <v/>
      </c>
      <c r="AB10" s="116" t="str">
        <f>IF($U10="","",(VLOOKUP($U10,名簿ﾏｽﾀｰ!$B$7:$Q$56,5,0)))</f>
        <v/>
      </c>
      <c r="AC10" s="116" t="str">
        <f>IF($U10="","",(VLOOKUP($U10,名簿ﾏｽﾀｰ!$B$7:$Q$56,12,0)))</f>
        <v/>
      </c>
      <c r="AD10" s="116" t="str">
        <f>IF($U10="","",(VLOOKUP($U10,名簿ﾏｽﾀｰ!$B$7:$Q$56,13,0)))</f>
        <v/>
      </c>
      <c r="AE10" s="116" t="str">
        <f>IF($U10="","",(VLOOKUP($U10,名簿ﾏｽﾀｰ!$B$7:$Q$56,14,0)))</f>
        <v/>
      </c>
      <c r="AF10" s="132"/>
    </row>
    <row r="11" spans="1:33" ht="15.75" customHeight="1" x14ac:dyDescent="0.15">
      <c r="A11" s="105">
        <f>VALUE(CONCATENATE($S$3,1))</f>
        <v>101001</v>
      </c>
      <c r="B11" s="126" t="s">
        <v>56</v>
      </c>
      <c r="C11" s="71"/>
      <c r="D11" s="127" t="str">
        <f>IF(C11="","",VLOOKUP($C11,$B$4:$E$7,2,0))</f>
        <v/>
      </c>
      <c r="E11" s="133" t="str">
        <f>IF($C11="","",IF(VLOOKUP($C11,メインシート!$E$13:$R$19,9,0)="","",VLOOKUP($C11,メインシート!$E$13:$R$19,9,0)))</f>
        <v/>
      </c>
      <c r="F11" s="133" t="str">
        <f>IF($C11="","",IF(VLOOKUP($C11,メインシート!$E$13:$R$19,10,0)="","",VLOOKUP($C11,メインシート!$E$13:$R$19,10,0)))</f>
        <v/>
      </c>
      <c r="H11" s="111">
        <v>10</v>
      </c>
      <c r="I11" s="111" t="str">
        <f>IF(VLOOKUP(H11,名簿ﾏｽﾀｰ!$J$7:$K$56,2,0)="","",VLOOKUP(H11,名簿ﾏｽﾀｰ!$J$7:$K$56,2,0))</f>
        <v/>
      </c>
      <c r="J11" s="77" t="str">
        <f>IF(VLOOKUP(H11,名簿ﾏｽﾀｰ!$J$7:$Q$56,7,0)="","",VLOOKUP(H11,名簿ﾏｽﾀｰ!$J$7:$Q$56,7,0))</f>
        <v/>
      </c>
      <c r="K11" s="77" t="str">
        <f>IF(I11="","",IF(J11=1,COUNTIF(入力ﾌｫｰﾑ!$U$3:$U$10,$H11)+COUNTIF(入力ﾌｫｰﾑ!$U$20:$U$27,$H11),IF(J11=2,"")))</f>
        <v/>
      </c>
      <c r="L11" s="77" t="str">
        <f t="shared" si="0"/>
        <v/>
      </c>
      <c r="U11" s="107" t="s">
        <v>97</v>
      </c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</row>
    <row r="12" spans="1:33" ht="15.75" customHeight="1" x14ac:dyDescent="0.15">
      <c r="A12" s="105">
        <f>VALUE(CONCATENATE($S$3,2))</f>
        <v>101002</v>
      </c>
      <c r="B12" s="126" t="s">
        <v>57</v>
      </c>
      <c r="C12" s="71"/>
      <c r="D12" s="127" t="str">
        <f>IF(C12="","",VLOOKUP($C12,$B$4:$E$7,2,0))</f>
        <v/>
      </c>
      <c r="H12" s="111">
        <v>11</v>
      </c>
      <c r="I12" s="111" t="str">
        <f>IF(VLOOKUP(H12,名簿ﾏｽﾀｰ!$J$7:$K$56,2,0)="","",VLOOKUP(H12,名簿ﾏｽﾀｰ!$J$7:$K$56,2,0))</f>
        <v/>
      </c>
      <c r="J12" s="77" t="str">
        <f>IF(VLOOKUP(H12,名簿ﾏｽﾀｰ!$J$7:$Q$56,7,0)="","",VLOOKUP(H12,名簿ﾏｽﾀｰ!$J$7:$Q$56,7,0))</f>
        <v/>
      </c>
      <c r="K12" s="77" t="str">
        <f>IF(I12="","",IF(J12=1,COUNTIF(入力ﾌｫｰﾑ!$U$3:$U$10,$H12)+COUNTIF(入力ﾌｫｰﾑ!$U$20:$U$27,$H12),IF(J12=2,"")))</f>
        <v/>
      </c>
      <c r="L12" s="77" t="str">
        <f t="shared" si="0"/>
        <v/>
      </c>
      <c r="N12" s="113" t="s">
        <v>176</v>
      </c>
      <c r="O12" s="113" t="s">
        <v>171</v>
      </c>
      <c r="P12" s="113" t="s">
        <v>172</v>
      </c>
      <c r="Q12" s="113" t="s">
        <v>173</v>
      </c>
      <c r="R12" s="113" t="s">
        <v>174</v>
      </c>
      <c r="S12" s="113" t="s">
        <v>175</v>
      </c>
      <c r="U12" s="115" t="s">
        <v>113</v>
      </c>
      <c r="V12" s="116" t="s">
        <v>1</v>
      </c>
      <c r="W12" s="117" t="s">
        <v>80</v>
      </c>
      <c r="X12" s="116" t="s">
        <v>99</v>
      </c>
      <c r="Y12" s="116" t="s">
        <v>37</v>
      </c>
      <c r="Z12" s="116" t="s">
        <v>103</v>
      </c>
      <c r="AA12" s="116" t="s">
        <v>104</v>
      </c>
      <c r="AB12" s="116" t="s">
        <v>105</v>
      </c>
      <c r="AC12" s="116" t="s">
        <v>11</v>
      </c>
      <c r="AD12" s="116" t="s">
        <v>36</v>
      </c>
      <c r="AE12" s="116" t="s">
        <v>78</v>
      </c>
      <c r="AF12" s="116" t="s">
        <v>106</v>
      </c>
    </row>
    <row r="13" spans="1:33" ht="15.75" customHeight="1" x14ac:dyDescent="0.15">
      <c r="H13" s="111">
        <v>12</v>
      </c>
      <c r="I13" s="111" t="str">
        <f>IF(VLOOKUP(H13,名簿ﾏｽﾀｰ!$J$7:$K$56,2,0)="","",VLOOKUP(H13,名簿ﾏｽﾀｰ!$J$7:$K$56,2,0))</f>
        <v/>
      </c>
      <c r="J13" s="77" t="str">
        <f>IF(VLOOKUP(H13,名簿ﾏｽﾀｰ!$J$7:$Q$56,7,0)="","",VLOOKUP(H13,名簿ﾏｽﾀｰ!$J$7:$Q$56,7,0))</f>
        <v/>
      </c>
      <c r="K13" s="77" t="str">
        <f>IF(I13="","",IF(J13=1,COUNTIF(入力ﾌｫｰﾑ!$U$3:$U$10,$H13)+COUNTIF(入力ﾌｫｰﾑ!$U$20:$U$27,$H13),IF(J13=2,"")))</f>
        <v/>
      </c>
      <c r="L13" s="77" t="str">
        <f t="shared" si="0"/>
        <v/>
      </c>
      <c r="N13" s="111">
        <v>1</v>
      </c>
      <c r="O13" s="120">
        <v>2</v>
      </c>
      <c r="P13" s="120">
        <f>メインシート!$C$8</f>
        <v>0</v>
      </c>
      <c r="Q13" s="120">
        <v>10</v>
      </c>
      <c r="R13" s="120">
        <f>$D$15</f>
        <v>0</v>
      </c>
      <c r="S13" s="120">
        <f>VALUE(CONCATENATE(O13,P13,Q13,R13))</f>
        <v>20100</v>
      </c>
      <c r="U13" s="68"/>
      <c r="V13" s="116" t="s">
        <v>93</v>
      </c>
      <c r="W13" s="116" t="str">
        <f>IF($U13="","",VALUE(CONCATENATE(S13,N13)))</f>
        <v/>
      </c>
      <c r="X13" s="116" t="str">
        <f>IF($U13="","",(VLOOKUP($U13,名簿ﾏｽﾀｰ!$B$7:$Q$56,10,0)))</f>
        <v/>
      </c>
      <c r="Y13" s="116" t="str">
        <f>IF($U13="","",(VLOOKUP($U13,名簿ﾏｽﾀｰ!$B$7:$Q$56,2,0)))</f>
        <v/>
      </c>
      <c r="Z13" s="116" t="str">
        <f>IF($U13="","",(VLOOKUP($U13,名簿ﾏｽﾀｰ!$B$7:$Q$56,3,0)))</f>
        <v/>
      </c>
      <c r="AA13" s="116" t="str">
        <f>IF($U13="","",(VLOOKUP($U13,名簿ﾏｽﾀｰ!$B$7:$Q$56,4,0)))</f>
        <v/>
      </c>
      <c r="AB13" s="116" t="str">
        <f>IF($U13="","",(VLOOKUP($U13,名簿ﾏｽﾀｰ!$B$7:$Q$56,5,0)))</f>
        <v/>
      </c>
      <c r="AC13" s="116" t="str">
        <f>IF($U13="","",(VLOOKUP($U13,名簿ﾏｽﾀｰ!$B$7:$Q$56,12,0)))</f>
        <v/>
      </c>
      <c r="AD13" s="116" t="str">
        <f>IF($U13="","",(VLOOKUP($U13,名簿ﾏｽﾀｰ!$B$7:$Q$56,13,0)))</f>
        <v/>
      </c>
      <c r="AE13" s="116" t="str">
        <f>IF($U13="","",(VLOOKUP($U13,名簿ﾏｽﾀｰ!$B$7:$Q$56,14,0)))</f>
        <v/>
      </c>
      <c r="AF13" s="132"/>
    </row>
    <row r="14" spans="1:33" ht="15.75" customHeight="1" x14ac:dyDescent="0.15">
      <c r="B14" s="216" t="s">
        <v>53</v>
      </c>
      <c r="C14" s="124" t="s">
        <v>88</v>
      </c>
      <c r="D14" s="125" t="s">
        <v>79</v>
      </c>
      <c r="E14" s="218" t="s">
        <v>90</v>
      </c>
      <c r="F14" s="218" t="s">
        <v>91</v>
      </c>
      <c r="H14" s="111">
        <v>13</v>
      </c>
      <c r="I14" s="111" t="str">
        <f>IF(VLOOKUP(H14,名簿ﾏｽﾀｰ!$J$7:$K$56,2,0)="","",VLOOKUP(H14,名簿ﾏｽﾀｰ!$J$7:$K$56,2,0))</f>
        <v/>
      </c>
      <c r="J14" s="77" t="str">
        <f>IF(VLOOKUP(H14,名簿ﾏｽﾀｰ!$J$7:$Q$56,7,0)="","",VLOOKUP(H14,名簿ﾏｽﾀｰ!$J$7:$Q$56,7,0))</f>
        <v/>
      </c>
      <c r="K14" s="77" t="str">
        <f>IF(I14="","",IF(J14=1,COUNTIF(入力ﾌｫｰﾑ!$U$3:$U$10,$H14)+COUNTIF(入力ﾌｫｰﾑ!$U$20:$U$27,$H14),IF(J14=2,"")))</f>
        <v/>
      </c>
      <c r="L14" s="77" t="str">
        <f t="shared" si="0"/>
        <v/>
      </c>
      <c r="N14" s="111">
        <v>2</v>
      </c>
      <c r="O14" s="111">
        <f t="shared" ref="O14:S17" si="3">O13</f>
        <v>2</v>
      </c>
      <c r="P14" s="111">
        <f t="shared" si="3"/>
        <v>0</v>
      </c>
      <c r="Q14" s="111">
        <f t="shared" si="3"/>
        <v>10</v>
      </c>
      <c r="R14" s="111">
        <f t="shared" si="3"/>
        <v>0</v>
      </c>
      <c r="S14" s="111">
        <f t="shared" si="3"/>
        <v>20100</v>
      </c>
      <c r="U14" s="68"/>
      <c r="V14" s="116" t="s">
        <v>95</v>
      </c>
      <c r="W14" s="116" t="str">
        <f>IF($U14="","",VALUE(CONCATENATE(S14,N14)))</f>
        <v/>
      </c>
      <c r="X14" s="116" t="str">
        <f>IF($U14="","",(VLOOKUP($U14,名簿ﾏｽﾀｰ!$B$7:$Q$56,10,0)))</f>
        <v/>
      </c>
      <c r="Y14" s="116" t="str">
        <f>IF($U14="","",(VLOOKUP($U14,名簿ﾏｽﾀｰ!$B$7:$Q$56,2,0)))</f>
        <v/>
      </c>
      <c r="Z14" s="116" t="str">
        <f>IF($U14="","",(VLOOKUP($U14,名簿ﾏｽﾀｰ!$B$7:$Q$56,3,0)))</f>
        <v/>
      </c>
      <c r="AA14" s="116" t="str">
        <f>IF($U14="","",(VLOOKUP($U14,名簿ﾏｽﾀｰ!$B$7:$Q$56,4,0)))</f>
        <v/>
      </c>
      <c r="AB14" s="116" t="str">
        <f>IF($U14="","",(VLOOKUP($U14,名簿ﾏｽﾀｰ!$B$7:$Q$56,5,0)))</f>
        <v/>
      </c>
      <c r="AC14" s="116" t="str">
        <f>IF($U14="","",(VLOOKUP($U14,名簿ﾏｽﾀｰ!$B$7:$Q$56,12,0)))</f>
        <v/>
      </c>
      <c r="AD14" s="116" t="str">
        <f>IF($U14="","",(VLOOKUP($U14,名簿ﾏｽﾀｰ!$B$7:$Q$56,13,0)))</f>
        <v/>
      </c>
      <c r="AE14" s="116" t="str">
        <f>IF($U14="","",(VLOOKUP($U14,名簿ﾏｽﾀｰ!$B$7:$Q$56,14,0)))</f>
        <v/>
      </c>
      <c r="AF14" s="132"/>
      <c r="AG14" s="108"/>
    </row>
    <row r="15" spans="1:33" ht="15.75" customHeight="1" x14ac:dyDescent="0.15">
      <c r="B15" s="217"/>
      <c r="C15" s="69"/>
      <c r="D15" s="70"/>
      <c r="E15" s="218"/>
      <c r="F15" s="218"/>
      <c r="H15" s="111">
        <v>14</v>
      </c>
      <c r="I15" s="111" t="str">
        <f>IF(VLOOKUP(H15,名簿ﾏｽﾀｰ!$J$7:$K$56,2,0)="","",VLOOKUP(H15,名簿ﾏｽﾀｰ!$J$7:$K$56,2,0))</f>
        <v/>
      </c>
      <c r="J15" s="77" t="str">
        <f>IF(VLOOKUP(H15,名簿ﾏｽﾀｰ!$J$7:$Q$56,7,0)="","",VLOOKUP(H15,名簿ﾏｽﾀｰ!$J$7:$Q$56,7,0))</f>
        <v/>
      </c>
      <c r="K15" s="77" t="str">
        <f>IF(I15="","",IF(J15=1,COUNTIF(入力ﾌｫｰﾑ!$U$3:$U$10,$H15)+COUNTIF(入力ﾌｫｰﾑ!$U$20:$U$27,$H15),IF(J15=2,"")))</f>
        <v/>
      </c>
      <c r="L15" s="77" t="str">
        <f t="shared" si="0"/>
        <v/>
      </c>
      <c r="N15" s="111">
        <v>3</v>
      </c>
      <c r="O15" s="111">
        <f t="shared" si="3"/>
        <v>2</v>
      </c>
      <c r="P15" s="111">
        <f t="shared" si="3"/>
        <v>0</v>
      </c>
      <c r="Q15" s="111">
        <f t="shared" si="3"/>
        <v>10</v>
      </c>
      <c r="R15" s="111">
        <f t="shared" si="3"/>
        <v>0</v>
      </c>
      <c r="S15" s="111">
        <f t="shared" si="3"/>
        <v>20100</v>
      </c>
      <c r="U15" s="68"/>
      <c r="V15" s="116" t="s">
        <v>86</v>
      </c>
      <c r="W15" s="116" t="str">
        <f>IF($U15="","",VALUE(CONCATENATE(S15,N15)))</f>
        <v/>
      </c>
      <c r="X15" s="116" t="str">
        <f>IF($U15="","",(VLOOKUP($U15,名簿ﾏｽﾀｰ!$B$7:$Q$56,10,0)))</f>
        <v/>
      </c>
      <c r="Y15" s="116" t="str">
        <f>IF($U15="","",(VLOOKUP($U15,名簿ﾏｽﾀｰ!$B$7:$Q$56,2,0)))</f>
        <v/>
      </c>
      <c r="Z15" s="116" t="str">
        <f>IF($U15="","",(VLOOKUP($U15,名簿ﾏｽﾀｰ!$B$7:$Q$56,3,0)))</f>
        <v/>
      </c>
      <c r="AA15" s="116" t="str">
        <f>IF($U15="","",(VLOOKUP($U15,名簿ﾏｽﾀｰ!$B$7:$Q$56,4,0)))</f>
        <v/>
      </c>
      <c r="AB15" s="116" t="str">
        <f>IF($U15="","",(VLOOKUP($U15,名簿ﾏｽﾀｰ!$B$7:$Q$56,5,0)))</f>
        <v/>
      </c>
      <c r="AC15" s="116" t="str">
        <f>IF($U15="","",(VLOOKUP($U15,名簿ﾏｽﾀｰ!$B$7:$Q$56,12,0)))</f>
        <v/>
      </c>
      <c r="AD15" s="116" t="str">
        <f>IF($U15="","",(VLOOKUP($U15,名簿ﾏｽﾀｰ!$B$7:$Q$56,13,0)))</f>
        <v/>
      </c>
      <c r="AE15" s="116" t="str">
        <f>IF($U15="","",(VLOOKUP($U15,名簿ﾏｽﾀｰ!$B$7:$Q$56,14,0)))</f>
        <v/>
      </c>
      <c r="AF15" s="132"/>
      <c r="AG15" s="108"/>
    </row>
    <row r="16" spans="1:33" ht="15.75" customHeight="1" x14ac:dyDescent="0.15">
      <c r="A16" s="105">
        <f>VALUE(CONCATENATE($S$13,1))</f>
        <v>201001</v>
      </c>
      <c r="B16" s="126" t="s">
        <v>56</v>
      </c>
      <c r="C16" s="71"/>
      <c r="D16" s="127" t="str">
        <f>IF(C16="","",VLOOKUP($C16,$B$4:$E$7,2,0))</f>
        <v/>
      </c>
      <c r="E16" s="133" t="str">
        <f>IF($C16="","",IF(VLOOKUP($C16,メインシート!$E$13:$R$19,9,0)="","",VLOOKUP($C16,メインシート!$E$13:$R$19,9,0)))</f>
        <v/>
      </c>
      <c r="F16" s="133" t="str">
        <f>IF($C16="","",IF(VLOOKUP($C16,メインシート!$E$13:$R$19,10,0)="","",VLOOKUP($C16,メインシート!$E$13:$R$19,10,0)))</f>
        <v/>
      </c>
      <c r="H16" s="111">
        <v>15</v>
      </c>
      <c r="I16" s="111" t="str">
        <f>IF(VLOOKUP(H16,名簿ﾏｽﾀｰ!$J$7:$K$56,2,0)="","",VLOOKUP(H16,名簿ﾏｽﾀｰ!$J$7:$K$56,2,0))</f>
        <v/>
      </c>
      <c r="J16" s="77" t="str">
        <f>IF(VLOOKUP(H16,名簿ﾏｽﾀｰ!$J$7:$Q$56,7,0)="","",VLOOKUP(H16,名簿ﾏｽﾀｰ!$J$7:$Q$56,7,0))</f>
        <v/>
      </c>
      <c r="K16" s="77" t="str">
        <f>IF(I16="","",IF(J16=1,COUNTIF(入力ﾌｫｰﾑ!$U$3:$U$10,$H16)+COUNTIF(入力ﾌｫｰﾑ!$U$20:$U$27,$H16),IF(J16=2,"")))</f>
        <v/>
      </c>
      <c r="L16" s="77" t="str">
        <f t="shared" si="0"/>
        <v/>
      </c>
      <c r="N16" s="111">
        <v>4</v>
      </c>
      <c r="O16" s="111">
        <f t="shared" si="3"/>
        <v>2</v>
      </c>
      <c r="P16" s="111">
        <f t="shared" si="3"/>
        <v>0</v>
      </c>
      <c r="Q16" s="111">
        <f t="shared" si="3"/>
        <v>10</v>
      </c>
      <c r="R16" s="111">
        <f t="shared" si="3"/>
        <v>0</v>
      </c>
      <c r="S16" s="111">
        <f t="shared" si="3"/>
        <v>20100</v>
      </c>
      <c r="U16" s="68"/>
      <c r="V16" s="116" t="s">
        <v>100</v>
      </c>
      <c r="W16" s="116" t="str">
        <f>IF($U16="","",VALUE(CONCATENATE(S16,N16)))</f>
        <v/>
      </c>
      <c r="X16" s="116" t="str">
        <f>IF($U16="","",(VLOOKUP($U16,名簿ﾏｽﾀｰ!$B$7:$Q$56,10,0)))</f>
        <v/>
      </c>
      <c r="Y16" s="116" t="str">
        <f>IF($U16="","",(VLOOKUP($U16,名簿ﾏｽﾀｰ!$B$7:$Q$56,2,0)))</f>
        <v/>
      </c>
      <c r="Z16" s="116" t="str">
        <f>IF($U16="","",(VLOOKUP($U16,名簿ﾏｽﾀｰ!$B$7:$Q$56,3,0)))</f>
        <v/>
      </c>
      <c r="AA16" s="116" t="str">
        <f>IF($U16="","",(VLOOKUP($U16,名簿ﾏｽﾀｰ!$B$7:$Q$56,4,0)))</f>
        <v/>
      </c>
      <c r="AB16" s="116" t="str">
        <f>IF($U16="","",(VLOOKUP($U16,名簿ﾏｽﾀｰ!$B$7:$Q$56,5,0)))</f>
        <v/>
      </c>
      <c r="AC16" s="116" t="str">
        <f>IF($U16="","",(VLOOKUP($U16,名簿ﾏｽﾀｰ!$B$7:$Q$56,12,0)))</f>
        <v/>
      </c>
      <c r="AD16" s="116" t="str">
        <f>IF($U16="","",(VLOOKUP($U16,名簿ﾏｽﾀｰ!$B$7:$Q$56,13,0)))</f>
        <v/>
      </c>
      <c r="AE16" s="116" t="str">
        <f>IF($U16="","",(VLOOKUP($U16,名簿ﾏｽﾀｰ!$B$7:$Q$56,14,0)))</f>
        <v/>
      </c>
      <c r="AF16" s="132"/>
    </row>
    <row r="17" spans="1:32" ht="15.75" customHeight="1" x14ac:dyDescent="0.15">
      <c r="A17" s="105">
        <f>VALUE(CONCATENATE($S$13,2))</f>
        <v>201002</v>
      </c>
      <c r="B17" s="126" t="s">
        <v>57</v>
      </c>
      <c r="C17" s="71"/>
      <c r="D17" s="127" t="str">
        <f>IF(C17="","",VLOOKUP($C17,$B$4:$E$7,2,0))</f>
        <v/>
      </c>
      <c r="G17" s="108"/>
      <c r="H17" s="111">
        <v>16</v>
      </c>
      <c r="I17" s="111" t="str">
        <f>IF(VLOOKUP(H17,名簿ﾏｽﾀｰ!$J$7:$K$56,2,0)="","",VLOOKUP(H17,名簿ﾏｽﾀｰ!$J$7:$K$56,2,0))</f>
        <v/>
      </c>
      <c r="J17" s="77" t="str">
        <f>IF(VLOOKUP(H17,名簿ﾏｽﾀｰ!$J$7:$Q$56,7,0)="","",VLOOKUP(H17,名簿ﾏｽﾀｰ!$J$7:$Q$56,7,0))</f>
        <v/>
      </c>
      <c r="K17" s="77" t="str">
        <f>IF(I17="","",IF(J17=1,COUNTIF(入力ﾌｫｰﾑ!$U$3:$U$10,$H17)+COUNTIF(入力ﾌｫｰﾑ!$U$20:$U$27,$H17),IF(J17=2,"")))</f>
        <v/>
      </c>
      <c r="L17" s="77" t="str">
        <f t="shared" si="0"/>
        <v/>
      </c>
      <c r="M17" s="108"/>
      <c r="N17" s="111">
        <v>5</v>
      </c>
      <c r="O17" s="111">
        <f t="shared" si="3"/>
        <v>2</v>
      </c>
      <c r="P17" s="111">
        <f t="shared" si="3"/>
        <v>0</v>
      </c>
      <c r="Q17" s="111">
        <f t="shared" si="3"/>
        <v>10</v>
      </c>
      <c r="R17" s="111">
        <f t="shared" si="3"/>
        <v>0</v>
      </c>
      <c r="S17" s="111">
        <f t="shared" si="3"/>
        <v>20100</v>
      </c>
      <c r="T17" s="108"/>
      <c r="U17" s="68"/>
      <c r="V17" s="116" t="s">
        <v>101</v>
      </c>
      <c r="W17" s="116" t="str">
        <f>IF($U17="","",VALUE(CONCATENATE(S17,N17)))</f>
        <v/>
      </c>
      <c r="X17" s="116" t="str">
        <f>IF($U17="","",(VLOOKUP($U17,名簿ﾏｽﾀｰ!$B$7:$Q$56,10,0)))</f>
        <v/>
      </c>
      <c r="Y17" s="116" t="str">
        <f>IF($U17="","",(VLOOKUP($U17,名簿ﾏｽﾀｰ!$B$7:$Q$56,2,0)))</f>
        <v/>
      </c>
      <c r="Z17" s="116" t="str">
        <f>IF($U17="","",(VLOOKUP($U17,名簿ﾏｽﾀｰ!$B$7:$Q$56,3,0)))</f>
        <v/>
      </c>
      <c r="AA17" s="116" t="str">
        <f>IF($U17="","",(VLOOKUP($U17,名簿ﾏｽﾀｰ!$B$7:$Q$56,4,0)))</f>
        <v/>
      </c>
      <c r="AB17" s="116" t="str">
        <f>IF($U17="","",(VLOOKUP($U17,名簿ﾏｽﾀｰ!$B$7:$Q$56,5,0)))</f>
        <v/>
      </c>
      <c r="AC17" s="116" t="str">
        <f>IF($U17="","",(VLOOKUP($U17,名簿ﾏｽﾀｰ!$B$7:$Q$56,12,0)))</f>
        <v/>
      </c>
      <c r="AD17" s="116" t="str">
        <f>IF($U17="","",(VLOOKUP($U17,名簿ﾏｽﾀｰ!$B$7:$Q$56,13,0)))</f>
        <v/>
      </c>
      <c r="AE17" s="116" t="str">
        <f>IF($U17="","",(VLOOKUP($U17,名簿ﾏｽﾀｰ!$B$7:$Q$56,14,0)))</f>
        <v/>
      </c>
      <c r="AF17" s="132"/>
    </row>
    <row r="18" spans="1:32" ht="15.75" customHeight="1" x14ac:dyDescent="0.15">
      <c r="C18" s="108"/>
      <c r="D18" s="108"/>
      <c r="E18" s="108"/>
      <c r="F18" s="108"/>
      <c r="H18" s="111">
        <v>17</v>
      </c>
      <c r="I18" s="111" t="str">
        <f>IF(VLOOKUP(H18,名簿ﾏｽﾀｰ!$J$7:$K$56,2,0)="","",VLOOKUP(H18,名簿ﾏｽﾀｰ!$J$7:$K$56,2,0))</f>
        <v/>
      </c>
      <c r="J18" s="77" t="str">
        <f>IF(VLOOKUP(H18,名簿ﾏｽﾀｰ!$J$7:$Q$56,7,0)="","",VLOOKUP(H18,名簿ﾏｽﾀｰ!$J$7:$Q$56,7,0))</f>
        <v/>
      </c>
      <c r="K18" s="77" t="str">
        <f>IF(I18="","",IF(J18=1,COUNTIF(入力ﾌｫｰﾑ!$U$3:$U$10,$H18)+COUNTIF(入力ﾌｫｰﾑ!$U$20:$U$27,$H18),IF(J18=2,"")))</f>
        <v/>
      </c>
      <c r="L18" s="77" t="str">
        <f t="shared" si="0"/>
        <v/>
      </c>
      <c r="U18" s="107" t="s">
        <v>109</v>
      </c>
      <c r="V18" s="128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</row>
    <row r="19" spans="1:32" ht="15.75" customHeight="1" x14ac:dyDescent="0.15">
      <c r="B19" s="216" t="s">
        <v>54</v>
      </c>
      <c r="C19" s="124" t="s">
        <v>88</v>
      </c>
      <c r="D19" s="130"/>
      <c r="E19" s="218" t="s">
        <v>90</v>
      </c>
      <c r="F19" s="218" t="s">
        <v>91</v>
      </c>
      <c r="H19" s="111">
        <v>18</v>
      </c>
      <c r="I19" s="111" t="str">
        <f>IF(VLOOKUP(H19,名簿ﾏｽﾀｰ!$J$7:$K$56,2,0)="","",VLOOKUP(H19,名簿ﾏｽﾀｰ!$J$7:$K$56,2,0))</f>
        <v/>
      </c>
      <c r="J19" s="77" t="str">
        <f>IF(VLOOKUP(H19,名簿ﾏｽﾀｰ!$J$7:$Q$56,7,0)="","",VLOOKUP(H19,名簿ﾏｽﾀｰ!$J$7:$Q$56,7,0))</f>
        <v/>
      </c>
      <c r="K19" s="77" t="str">
        <f>IF(I19="","",IF(J19=1,COUNTIF(入力ﾌｫｰﾑ!$U$3:$U$10,$H19)+COUNTIF(入力ﾌｫｰﾑ!$U$20:$U$27,$H19),IF(J19=2,"")))</f>
        <v/>
      </c>
      <c r="L19" s="77" t="str">
        <f t="shared" si="0"/>
        <v/>
      </c>
      <c r="N19" s="113" t="s">
        <v>176</v>
      </c>
      <c r="O19" s="113" t="s">
        <v>171</v>
      </c>
      <c r="P19" s="113" t="s">
        <v>172</v>
      </c>
      <c r="Q19" s="113" t="s">
        <v>173</v>
      </c>
      <c r="R19" s="113" t="s">
        <v>174</v>
      </c>
      <c r="S19" s="113" t="s">
        <v>177</v>
      </c>
      <c r="U19" s="115" t="s">
        <v>113</v>
      </c>
      <c r="V19" s="116" t="s">
        <v>79</v>
      </c>
      <c r="W19" s="117" t="s">
        <v>98</v>
      </c>
      <c r="X19" s="116" t="s">
        <v>99</v>
      </c>
      <c r="Y19" s="116" t="s">
        <v>37</v>
      </c>
      <c r="Z19" s="116" t="s">
        <v>103</v>
      </c>
      <c r="AA19" s="116" t="s">
        <v>104</v>
      </c>
      <c r="AB19" s="116" t="s">
        <v>105</v>
      </c>
      <c r="AC19" s="116" t="s">
        <v>11</v>
      </c>
      <c r="AD19" s="116" t="s">
        <v>36</v>
      </c>
      <c r="AE19" s="116" t="s">
        <v>78</v>
      </c>
      <c r="AF19" s="116" t="s">
        <v>110</v>
      </c>
    </row>
    <row r="20" spans="1:32" ht="15.75" customHeight="1" x14ac:dyDescent="0.15">
      <c r="B20" s="217"/>
      <c r="C20" s="69"/>
      <c r="D20" s="131"/>
      <c r="E20" s="218"/>
      <c r="F20" s="218"/>
      <c r="H20" s="111">
        <v>19</v>
      </c>
      <c r="I20" s="111" t="str">
        <f>IF(VLOOKUP(H20,名簿ﾏｽﾀｰ!$J$7:$K$56,2,0)="","",VLOOKUP(H20,名簿ﾏｽﾀｰ!$J$7:$K$56,2,0))</f>
        <v/>
      </c>
      <c r="J20" s="77" t="str">
        <f>IF(VLOOKUP(H20,名簿ﾏｽﾀｰ!$J$7:$Q$56,7,0)="","",VLOOKUP(H20,名簿ﾏｽﾀｰ!$J$7:$Q$56,7,0))</f>
        <v/>
      </c>
      <c r="K20" s="77" t="str">
        <f>IF(I20="","",IF(J20=1,COUNTIF(入力ﾌｫｰﾑ!$U$3:$U$10,$H20)+COUNTIF(入力ﾌｫｰﾑ!$U$20:$U$27,$H20),IF(J20=2,"")))</f>
        <v/>
      </c>
      <c r="L20" s="77" t="str">
        <f t="shared" si="0"/>
        <v/>
      </c>
      <c r="N20" s="111">
        <v>1</v>
      </c>
      <c r="O20" s="120">
        <v>1</v>
      </c>
      <c r="P20" s="120">
        <f>メインシート!$C$8</f>
        <v>0</v>
      </c>
      <c r="Q20" s="120" t="str">
        <f t="shared" ref="Q20:Q27" si="4">IF($U20="","",LEFT($V20,2))</f>
        <v/>
      </c>
      <c r="R20" s="120" t="str">
        <f t="shared" ref="R20:R27" si="5">IF($U20="","",RIGHT($V20,1))</f>
        <v/>
      </c>
      <c r="S20" s="120" t="str">
        <f t="shared" ref="S20:S27" si="6">IF(U20="","",VALUE(CONCATENATE(O20,P20,Q20,R20)))</f>
        <v/>
      </c>
      <c r="U20" s="68"/>
      <c r="V20" s="72"/>
      <c r="W20" s="116" t="str">
        <f t="shared" ref="W20:W27" si="7">IF(U20="","",S20)</f>
        <v/>
      </c>
      <c r="X20" s="116" t="str">
        <f>IF($U20="","",(VLOOKUP($U20,名簿ﾏｽﾀｰ!$B$7:$Q$56,10,0)))</f>
        <v/>
      </c>
      <c r="Y20" s="116" t="str">
        <f>IF($U20="","",(VLOOKUP($U20,名簿ﾏｽﾀｰ!$B$7:$Q$56,2,0)))</f>
        <v/>
      </c>
      <c r="Z20" s="116" t="str">
        <f>IF($U20="","",(VLOOKUP($U20,名簿ﾏｽﾀｰ!$B$7:$Q$56,3,0)))</f>
        <v/>
      </c>
      <c r="AA20" s="116" t="str">
        <f>IF($U20="","",(VLOOKUP($U20,名簿ﾏｽﾀｰ!$B$7:$Q$56,4,0)))</f>
        <v/>
      </c>
      <c r="AB20" s="116" t="str">
        <f>IF($U20="","",(VLOOKUP($U20,名簿ﾏｽﾀｰ!$B$7:$Q$56,5,0)))</f>
        <v/>
      </c>
      <c r="AC20" s="116" t="str">
        <f>IF($U20="","",(VLOOKUP($U20,名簿ﾏｽﾀｰ!$B$7:$Q$56,12,0)))</f>
        <v/>
      </c>
      <c r="AD20" s="116" t="str">
        <f>IF($U20="","",(VLOOKUP($U20,名簿ﾏｽﾀｰ!$B$7:$Q$56,13,0)))</f>
        <v/>
      </c>
      <c r="AE20" s="116" t="str">
        <f>IF($U20="","",(VLOOKUP($U20,名簿ﾏｽﾀｰ!$B$7:$Q$56,14,0)))</f>
        <v/>
      </c>
      <c r="AF20" s="132"/>
    </row>
    <row r="21" spans="1:32" ht="15.75" customHeight="1" x14ac:dyDescent="0.15">
      <c r="A21" s="105">
        <f>VALUE(CONCATENATE($O$20,$P$20,2001))</f>
        <v>102001</v>
      </c>
      <c r="B21" s="126" t="s">
        <v>56</v>
      </c>
      <c r="C21" s="71"/>
      <c r="D21" s="127" t="str">
        <f>IF(C21="","",VLOOKUP($C21,$B$4:$E$7,2,0))</f>
        <v/>
      </c>
      <c r="E21" s="133" t="str">
        <f>IF($C21="","",IF(VLOOKUP($C21,メインシート!$E$13:$R$19,9,0)="","",VLOOKUP($C21,メインシート!$E$13:$R$19,9,0)))</f>
        <v/>
      </c>
      <c r="F21" s="133" t="str">
        <f>IF($C21="","",IF(VLOOKUP($C21,メインシート!$E$13:$R$19,10,0)="","",VLOOKUP($C21,メインシート!$E$13:$R$19,10,0)))</f>
        <v/>
      </c>
      <c r="H21" s="111">
        <v>20</v>
      </c>
      <c r="I21" s="111" t="str">
        <f>IF(VLOOKUP(H21,名簿ﾏｽﾀｰ!$J$7:$K$56,2,0)="","",VLOOKUP(H21,名簿ﾏｽﾀｰ!$J$7:$K$56,2,0))</f>
        <v/>
      </c>
      <c r="J21" s="77" t="str">
        <f>IF(VLOOKUP(H21,名簿ﾏｽﾀｰ!$J$7:$Q$56,7,0)="","",VLOOKUP(H21,名簿ﾏｽﾀｰ!$J$7:$Q$56,7,0))</f>
        <v/>
      </c>
      <c r="K21" s="77" t="str">
        <f>IF(I21="","",IF(J21=1,COUNTIF(入力ﾌｫｰﾑ!$U$3:$U$10,$H21)+COUNTIF(入力ﾌｫｰﾑ!$U$20:$U$27,$H21),IF(J21=2,"")))</f>
        <v/>
      </c>
      <c r="L21" s="77" t="str">
        <f t="shared" si="0"/>
        <v/>
      </c>
      <c r="N21" s="111">
        <v>2</v>
      </c>
      <c r="O21" s="111">
        <f t="shared" ref="O21:O29" si="8">O20</f>
        <v>1</v>
      </c>
      <c r="P21" s="111">
        <f t="shared" ref="P21:P29" si="9">P20</f>
        <v>0</v>
      </c>
      <c r="Q21" s="111" t="str">
        <f t="shared" si="4"/>
        <v/>
      </c>
      <c r="R21" s="111" t="str">
        <f t="shared" si="5"/>
        <v/>
      </c>
      <c r="S21" s="111" t="str">
        <f t="shared" si="6"/>
        <v/>
      </c>
      <c r="U21" s="68"/>
      <c r="V21" s="72"/>
      <c r="W21" s="116" t="str">
        <f t="shared" si="7"/>
        <v/>
      </c>
      <c r="X21" s="116" t="str">
        <f>IF($U21="","",(VLOOKUP($U21,名簿ﾏｽﾀｰ!$B$7:$Q$56,10,0)))</f>
        <v/>
      </c>
      <c r="Y21" s="116" t="str">
        <f>IF($U21="","",(VLOOKUP($U21,名簿ﾏｽﾀｰ!$B$7:$Q$56,2,0)))</f>
        <v/>
      </c>
      <c r="Z21" s="116" t="str">
        <f>IF($U21="","",(VLOOKUP($U21,名簿ﾏｽﾀｰ!$B$7:$Q$56,3,0)))</f>
        <v/>
      </c>
      <c r="AA21" s="116" t="str">
        <f>IF($U21="","",(VLOOKUP($U21,名簿ﾏｽﾀｰ!$B$7:$Q$56,4,0)))</f>
        <v/>
      </c>
      <c r="AB21" s="116" t="str">
        <f>IF($U21="","",(VLOOKUP($U21,名簿ﾏｽﾀｰ!$B$7:$Q$56,5,0)))</f>
        <v/>
      </c>
      <c r="AC21" s="116" t="str">
        <f>IF($U21="","",(VLOOKUP($U21,名簿ﾏｽﾀｰ!$B$7:$Q$56,12,0)))</f>
        <v/>
      </c>
      <c r="AD21" s="116" t="str">
        <f>IF($U21="","",(VLOOKUP($U21,名簿ﾏｽﾀｰ!$B$7:$Q$56,13,0)))</f>
        <v/>
      </c>
      <c r="AE21" s="116" t="str">
        <f>IF($U21="","",(VLOOKUP($U21,名簿ﾏｽﾀｰ!$B$7:$Q$56,14,0)))</f>
        <v/>
      </c>
      <c r="AF21" s="132"/>
    </row>
    <row r="22" spans="1:32" ht="15.75" customHeight="1" x14ac:dyDescent="0.15">
      <c r="A22" s="105">
        <f>VALUE(CONCATENATE($O$20,$P$20,2002))</f>
        <v>102002</v>
      </c>
      <c r="B22" s="126" t="s">
        <v>57</v>
      </c>
      <c r="C22" s="71"/>
      <c r="D22" s="127" t="str">
        <f>IF(C22="","",VLOOKUP($C22,$B$4:$E$7,2,0))</f>
        <v/>
      </c>
      <c r="H22" s="111">
        <v>21</v>
      </c>
      <c r="I22" s="111" t="str">
        <f>IF(VLOOKUP(H22,名簿ﾏｽﾀｰ!$J$7:$K$56,2,0)="","",VLOOKUP(H22,名簿ﾏｽﾀｰ!$J$7:$K$56,2,0))</f>
        <v/>
      </c>
      <c r="J22" s="77" t="str">
        <f>IF(VLOOKUP(H22,名簿ﾏｽﾀｰ!$J$7:$Q$56,7,0)="","",VLOOKUP(H22,名簿ﾏｽﾀｰ!$J$7:$Q$56,7,0))</f>
        <v/>
      </c>
      <c r="K22" s="77" t="str">
        <f>IF(I22="","",IF(J22=1,COUNTIF(入力ﾌｫｰﾑ!$U$3:$U$10,$H22)+COUNTIF(入力ﾌｫｰﾑ!$U$20:$U$27,$H22),IF(J22=2,"")))</f>
        <v/>
      </c>
      <c r="L22" s="77" t="str">
        <f t="shared" si="0"/>
        <v/>
      </c>
      <c r="N22" s="111">
        <v>3</v>
      </c>
      <c r="O22" s="111">
        <f t="shared" si="8"/>
        <v>1</v>
      </c>
      <c r="P22" s="111">
        <f t="shared" si="9"/>
        <v>0</v>
      </c>
      <c r="Q22" s="111" t="str">
        <f t="shared" si="4"/>
        <v/>
      </c>
      <c r="R22" s="111" t="str">
        <f t="shared" si="5"/>
        <v/>
      </c>
      <c r="S22" s="111" t="str">
        <f t="shared" si="6"/>
        <v/>
      </c>
      <c r="U22" s="68"/>
      <c r="V22" s="72"/>
      <c r="W22" s="116" t="str">
        <f t="shared" si="7"/>
        <v/>
      </c>
      <c r="X22" s="116" t="str">
        <f>IF($U22="","",(VLOOKUP($U22,名簿ﾏｽﾀｰ!$B$7:$Q$56,10,0)))</f>
        <v/>
      </c>
      <c r="Y22" s="116" t="str">
        <f>IF($U22="","",(VLOOKUP($U22,名簿ﾏｽﾀｰ!$B$7:$Q$56,2,0)))</f>
        <v/>
      </c>
      <c r="Z22" s="116" t="str">
        <f>IF($U22="","",(VLOOKUP($U22,名簿ﾏｽﾀｰ!$B$7:$Q$56,3,0)))</f>
        <v/>
      </c>
      <c r="AA22" s="116" t="str">
        <f>IF($U22="","",(VLOOKUP($U22,名簿ﾏｽﾀｰ!$B$7:$Q$56,4,0)))</f>
        <v/>
      </c>
      <c r="AB22" s="116" t="str">
        <f>IF($U22="","",(VLOOKUP($U22,名簿ﾏｽﾀｰ!$B$7:$Q$56,5,0)))</f>
        <v/>
      </c>
      <c r="AC22" s="116" t="str">
        <f>IF($U22="","",(VLOOKUP($U22,名簿ﾏｽﾀｰ!$B$7:$Q$56,12,0)))</f>
        <v/>
      </c>
      <c r="AD22" s="116" t="str">
        <f>IF($U22="","",(VLOOKUP($U22,名簿ﾏｽﾀｰ!$B$7:$Q$56,13,0)))</f>
        <v/>
      </c>
      <c r="AE22" s="116" t="str">
        <f>IF($U22="","",(VLOOKUP($U22,名簿ﾏｽﾀｰ!$B$7:$Q$56,14,0)))</f>
        <v/>
      </c>
      <c r="AF22" s="132"/>
    </row>
    <row r="23" spans="1:32" ht="15.75" customHeight="1" x14ac:dyDescent="0.15">
      <c r="B23" s="106"/>
      <c r="H23" s="111">
        <v>22</v>
      </c>
      <c r="I23" s="111" t="str">
        <f>IF(VLOOKUP(H23,名簿ﾏｽﾀｰ!$J$7:$K$56,2,0)="","",VLOOKUP(H23,名簿ﾏｽﾀｰ!$J$7:$K$56,2,0))</f>
        <v/>
      </c>
      <c r="J23" s="77" t="str">
        <f>IF(VLOOKUP(H23,名簿ﾏｽﾀｰ!$J$7:$Q$56,7,0)="","",VLOOKUP(H23,名簿ﾏｽﾀｰ!$J$7:$Q$56,7,0))</f>
        <v/>
      </c>
      <c r="K23" s="77" t="str">
        <f>IF(I23="","",IF(J23=1,COUNTIF(入力ﾌｫｰﾑ!$U$3:$U$10,$H23)+COUNTIF(入力ﾌｫｰﾑ!$U$20:$U$27,$H23),IF(J23=2,"")))</f>
        <v/>
      </c>
      <c r="L23" s="77" t="str">
        <f t="shared" si="0"/>
        <v/>
      </c>
      <c r="N23" s="111">
        <v>4</v>
      </c>
      <c r="O23" s="111">
        <f t="shared" si="8"/>
        <v>1</v>
      </c>
      <c r="P23" s="111">
        <f t="shared" si="9"/>
        <v>0</v>
      </c>
      <c r="Q23" s="111" t="str">
        <f t="shared" si="4"/>
        <v/>
      </c>
      <c r="R23" s="111" t="str">
        <f t="shared" si="5"/>
        <v/>
      </c>
      <c r="S23" s="111" t="str">
        <f t="shared" si="6"/>
        <v/>
      </c>
      <c r="U23" s="68"/>
      <c r="V23" s="72"/>
      <c r="W23" s="116" t="str">
        <f t="shared" si="7"/>
        <v/>
      </c>
      <c r="X23" s="116" t="str">
        <f>IF($U23="","",(VLOOKUP($U23,名簿ﾏｽﾀｰ!$B$7:$Q$56,10,0)))</f>
        <v/>
      </c>
      <c r="Y23" s="116" t="str">
        <f>IF($U23="","",(VLOOKUP($U23,名簿ﾏｽﾀｰ!$B$7:$Q$56,2,0)))</f>
        <v/>
      </c>
      <c r="Z23" s="116" t="str">
        <f>IF($U23="","",(VLOOKUP($U23,名簿ﾏｽﾀｰ!$B$7:$Q$56,3,0)))</f>
        <v/>
      </c>
      <c r="AA23" s="116" t="str">
        <f>IF($U23="","",(VLOOKUP($U23,名簿ﾏｽﾀｰ!$B$7:$Q$56,4,0)))</f>
        <v/>
      </c>
      <c r="AB23" s="116" t="str">
        <f>IF($U23="","",(VLOOKUP($U23,名簿ﾏｽﾀｰ!$B$7:$Q$56,5,0)))</f>
        <v/>
      </c>
      <c r="AC23" s="116" t="str">
        <f>IF($U23="","",(VLOOKUP($U23,名簿ﾏｽﾀｰ!$B$7:$Q$56,12,0)))</f>
        <v/>
      </c>
      <c r="AD23" s="116" t="str">
        <f>IF($U23="","",(VLOOKUP($U23,名簿ﾏｽﾀｰ!$B$7:$Q$56,13,0)))</f>
        <v/>
      </c>
      <c r="AE23" s="116" t="str">
        <f>IF($U23="","",(VLOOKUP($U23,名簿ﾏｽﾀｰ!$B$7:$Q$56,14,0)))</f>
        <v/>
      </c>
      <c r="AF23" s="132"/>
    </row>
    <row r="24" spans="1:32" ht="15.75" customHeight="1" x14ac:dyDescent="0.15">
      <c r="B24" s="216" t="s">
        <v>55</v>
      </c>
      <c r="C24" s="124" t="s">
        <v>88</v>
      </c>
      <c r="D24" s="130"/>
      <c r="E24" s="218" t="s">
        <v>90</v>
      </c>
      <c r="F24" s="218" t="s">
        <v>91</v>
      </c>
      <c r="H24" s="111">
        <v>23</v>
      </c>
      <c r="I24" s="111" t="str">
        <f>IF(VLOOKUP(H24,名簿ﾏｽﾀｰ!$J$7:$K$56,2,0)="","",VLOOKUP(H24,名簿ﾏｽﾀｰ!$J$7:$K$56,2,0))</f>
        <v/>
      </c>
      <c r="J24" s="77" t="str">
        <f>IF(VLOOKUP(H24,名簿ﾏｽﾀｰ!$J$7:$Q$56,7,0)="","",VLOOKUP(H24,名簿ﾏｽﾀｰ!$J$7:$Q$56,7,0))</f>
        <v/>
      </c>
      <c r="K24" s="77" t="str">
        <f>IF(I24="","",IF(J24=1,COUNTIF(入力ﾌｫｰﾑ!$U$3:$U$10,$H24)+COUNTIF(入力ﾌｫｰﾑ!$U$20:$U$27,$H24),IF(J24=2,"")))</f>
        <v/>
      </c>
      <c r="L24" s="77" t="str">
        <f t="shared" si="0"/>
        <v/>
      </c>
      <c r="N24" s="111">
        <v>5</v>
      </c>
      <c r="O24" s="111">
        <f t="shared" si="8"/>
        <v>1</v>
      </c>
      <c r="P24" s="111">
        <f t="shared" si="9"/>
        <v>0</v>
      </c>
      <c r="Q24" s="111" t="str">
        <f t="shared" si="4"/>
        <v/>
      </c>
      <c r="R24" s="111" t="str">
        <f t="shared" si="5"/>
        <v/>
      </c>
      <c r="S24" s="111" t="str">
        <f t="shared" si="6"/>
        <v/>
      </c>
      <c r="U24" s="68"/>
      <c r="V24" s="72"/>
      <c r="W24" s="116" t="str">
        <f t="shared" si="7"/>
        <v/>
      </c>
      <c r="X24" s="116" t="str">
        <f>IF($U24="","",(VLOOKUP($U24,名簿ﾏｽﾀｰ!$B$7:$Q$56,10,0)))</f>
        <v/>
      </c>
      <c r="Y24" s="116" t="str">
        <f>IF($U24="","",(VLOOKUP($U24,名簿ﾏｽﾀｰ!$B$7:$Q$56,2,0)))</f>
        <v/>
      </c>
      <c r="Z24" s="116" t="str">
        <f>IF($U24="","",(VLOOKUP($U24,名簿ﾏｽﾀｰ!$B$7:$Q$56,3,0)))</f>
        <v/>
      </c>
      <c r="AA24" s="116" t="str">
        <f>IF($U24="","",(VLOOKUP($U24,名簿ﾏｽﾀｰ!$B$7:$Q$56,4,0)))</f>
        <v/>
      </c>
      <c r="AB24" s="116" t="str">
        <f>IF($U24="","",(VLOOKUP($U24,名簿ﾏｽﾀｰ!$B$7:$Q$56,5,0)))</f>
        <v/>
      </c>
      <c r="AC24" s="116" t="str">
        <f>IF($U24="","",(VLOOKUP($U24,名簿ﾏｽﾀｰ!$B$7:$Q$56,12,0)))</f>
        <v/>
      </c>
      <c r="AD24" s="116" t="str">
        <f>IF($U24="","",(VLOOKUP($U24,名簿ﾏｽﾀｰ!$B$7:$Q$56,13,0)))</f>
        <v/>
      </c>
      <c r="AE24" s="116" t="str">
        <f>IF($U24="","",(VLOOKUP($U24,名簿ﾏｽﾀｰ!$B$7:$Q$56,14,0)))</f>
        <v/>
      </c>
      <c r="AF24" s="132"/>
    </row>
    <row r="25" spans="1:32" ht="15.75" customHeight="1" x14ac:dyDescent="0.15">
      <c r="B25" s="217"/>
      <c r="C25" s="69"/>
      <c r="D25" s="131"/>
      <c r="E25" s="218"/>
      <c r="F25" s="218"/>
      <c r="H25" s="111">
        <v>24</v>
      </c>
      <c r="I25" s="111" t="str">
        <f>IF(VLOOKUP(H25,名簿ﾏｽﾀｰ!$J$7:$K$56,2,0)="","",VLOOKUP(H25,名簿ﾏｽﾀｰ!$J$7:$K$56,2,0))</f>
        <v/>
      </c>
      <c r="J25" s="77" t="str">
        <f>IF(VLOOKUP(H25,名簿ﾏｽﾀｰ!$J$7:$Q$56,7,0)="","",VLOOKUP(H25,名簿ﾏｽﾀｰ!$J$7:$Q$56,7,0))</f>
        <v/>
      </c>
      <c r="K25" s="77" t="str">
        <f>IF(I25="","",IF(J25=1,COUNTIF(入力ﾌｫｰﾑ!$U$3:$U$10,$H25)+COUNTIF(入力ﾌｫｰﾑ!$U$20:$U$27,$H25),IF(J25=2,"")))</f>
        <v/>
      </c>
      <c r="L25" s="77" t="str">
        <f t="shared" si="0"/>
        <v/>
      </c>
      <c r="N25" s="111">
        <v>6</v>
      </c>
      <c r="O25" s="111">
        <f t="shared" si="8"/>
        <v>1</v>
      </c>
      <c r="P25" s="111">
        <f t="shared" si="9"/>
        <v>0</v>
      </c>
      <c r="Q25" s="111" t="str">
        <f t="shared" si="4"/>
        <v/>
      </c>
      <c r="R25" s="111" t="str">
        <f t="shared" si="5"/>
        <v/>
      </c>
      <c r="S25" s="111" t="str">
        <f t="shared" si="6"/>
        <v/>
      </c>
      <c r="U25" s="68"/>
      <c r="V25" s="72"/>
      <c r="W25" s="116" t="str">
        <f t="shared" si="7"/>
        <v/>
      </c>
      <c r="X25" s="116" t="str">
        <f>IF($U25="","",(VLOOKUP($U25,名簿ﾏｽﾀｰ!$B$7:$Q$56,10,0)))</f>
        <v/>
      </c>
      <c r="Y25" s="116" t="str">
        <f>IF($U25="","",(VLOOKUP($U25,名簿ﾏｽﾀｰ!$B$7:$Q$56,2,0)))</f>
        <v/>
      </c>
      <c r="Z25" s="116" t="str">
        <f>IF($U25="","",(VLOOKUP($U25,名簿ﾏｽﾀｰ!$B$7:$Q$56,3,0)))</f>
        <v/>
      </c>
      <c r="AA25" s="116" t="str">
        <f>IF($U25="","",(VLOOKUP($U25,名簿ﾏｽﾀｰ!$B$7:$Q$56,4,0)))</f>
        <v/>
      </c>
      <c r="AB25" s="116" t="str">
        <f>IF($U25="","",(VLOOKUP($U25,名簿ﾏｽﾀｰ!$B$7:$Q$56,5,0)))</f>
        <v/>
      </c>
      <c r="AC25" s="116" t="str">
        <f>IF($U25="","",(VLOOKUP($U25,名簿ﾏｽﾀｰ!$B$7:$Q$56,12,0)))</f>
        <v/>
      </c>
      <c r="AD25" s="116" t="str">
        <f>IF($U25="","",(VLOOKUP($U25,名簿ﾏｽﾀｰ!$B$7:$Q$56,13,0)))</f>
        <v/>
      </c>
      <c r="AE25" s="116" t="str">
        <f>IF($U25="","",(VLOOKUP($U25,名簿ﾏｽﾀｰ!$B$7:$Q$56,14,0)))</f>
        <v/>
      </c>
      <c r="AF25" s="132"/>
    </row>
    <row r="26" spans="1:32" ht="15.75" customHeight="1" x14ac:dyDescent="0.15">
      <c r="A26" s="105">
        <f>VALUE(CONCATENATE($O$32,$P$32,2001))</f>
        <v>202001</v>
      </c>
      <c r="B26" s="126" t="s">
        <v>56</v>
      </c>
      <c r="C26" s="71"/>
      <c r="D26" s="127" t="str">
        <f>IF(C26="","",VLOOKUP($C26,$B$4:$E$7,2,0))</f>
        <v/>
      </c>
      <c r="E26" s="133" t="str">
        <f>IF($C26="","",IF(VLOOKUP($C26,メインシート!$E$13:$R$19,9,0)="","",VLOOKUP($C26,メインシート!$E$13:$R$19,9,0)))</f>
        <v/>
      </c>
      <c r="F26" s="133" t="str">
        <f>IF($C26="","",IF(VLOOKUP($C26,メインシート!$E$13:$R$19,10,0)="","",VLOOKUP($C26,メインシート!$E$13:$R$19,10,0)))</f>
        <v/>
      </c>
      <c r="H26" s="111">
        <v>25</v>
      </c>
      <c r="I26" s="111" t="str">
        <f>IF(VLOOKUP(H26,名簿ﾏｽﾀｰ!$J$7:$K$56,2,0)="","",VLOOKUP(H26,名簿ﾏｽﾀｰ!$J$7:$K$56,2,0))</f>
        <v/>
      </c>
      <c r="J26" s="77" t="str">
        <f>IF(VLOOKUP(H26,名簿ﾏｽﾀｰ!$J$7:$Q$56,7,0)="","",VLOOKUP(H26,名簿ﾏｽﾀｰ!$J$7:$Q$56,7,0))</f>
        <v/>
      </c>
      <c r="K26" s="77" t="str">
        <f>IF(I26="","",IF(J26=1,COUNTIF(入力ﾌｫｰﾑ!$U$3:$U$10,$H26)+COUNTIF(入力ﾌｫｰﾑ!$U$20:$U$27,$H26),IF(J26=2,"")))</f>
        <v/>
      </c>
      <c r="L26" s="77" t="str">
        <f t="shared" si="0"/>
        <v/>
      </c>
      <c r="N26" s="111">
        <v>7</v>
      </c>
      <c r="O26" s="111">
        <f t="shared" si="8"/>
        <v>1</v>
      </c>
      <c r="P26" s="111">
        <f t="shared" si="9"/>
        <v>0</v>
      </c>
      <c r="Q26" s="111" t="str">
        <f t="shared" si="4"/>
        <v/>
      </c>
      <c r="R26" s="111" t="str">
        <f t="shared" si="5"/>
        <v/>
      </c>
      <c r="S26" s="111" t="str">
        <f t="shared" si="6"/>
        <v/>
      </c>
      <c r="U26" s="68"/>
      <c r="V26" s="72"/>
      <c r="W26" s="116" t="str">
        <f t="shared" si="7"/>
        <v/>
      </c>
      <c r="X26" s="116" t="str">
        <f>IF($U26="","",(VLOOKUP($U26,名簿ﾏｽﾀｰ!$B$7:$Q$56,10,0)))</f>
        <v/>
      </c>
      <c r="Y26" s="116" t="str">
        <f>IF($U26="","",(VLOOKUP($U26,名簿ﾏｽﾀｰ!$B$7:$Q$56,2,0)))</f>
        <v/>
      </c>
      <c r="Z26" s="116" t="str">
        <f>IF($U26="","",(VLOOKUP($U26,名簿ﾏｽﾀｰ!$B$7:$Q$56,3,0)))</f>
        <v/>
      </c>
      <c r="AA26" s="116" t="str">
        <f>IF($U26="","",(VLOOKUP($U26,名簿ﾏｽﾀｰ!$B$7:$Q$56,4,0)))</f>
        <v/>
      </c>
      <c r="AB26" s="116" t="str">
        <f>IF($U26="","",(VLOOKUP($U26,名簿ﾏｽﾀｰ!$B$7:$Q$56,5,0)))</f>
        <v/>
      </c>
      <c r="AC26" s="116" t="str">
        <f>IF($U26="","",(VLOOKUP($U26,名簿ﾏｽﾀｰ!$B$7:$Q$56,12,0)))</f>
        <v/>
      </c>
      <c r="AD26" s="116" t="str">
        <f>IF($U26="","",(VLOOKUP($U26,名簿ﾏｽﾀｰ!$B$7:$Q$56,13,0)))</f>
        <v/>
      </c>
      <c r="AE26" s="116" t="str">
        <f>IF($U26="","",(VLOOKUP($U26,名簿ﾏｽﾀｰ!$B$7:$Q$56,14,0)))</f>
        <v/>
      </c>
      <c r="AF26" s="132"/>
    </row>
    <row r="27" spans="1:32" ht="15.75" customHeight="1" x14ac:dyDescent="0.15">
      <c r="A27" s="105">
        <f>VALUE(CONCATENATE($O$32,$P$32,2002))</f>
        <v>202002</v>
      </c>
      <c r="B27" s="126" t="s">
        <v>57</v>
      </c>
      <c r="C27" s="71"/>
      <c r="D27" s="127" t="str">
        <f>IF(C27="","",VLOOKUP($C27,$B$4:$E$7,2,0))</f>
        <v/>
      </c>
      <c r="H27" s="111">
        <v>26</v>
      </c>
      <c r="I27" s="111" t="str">
        <f>IF(VLOOKUP(H27,名簿ﾏｽﾀｰ!$J$7:$K$56,2,0)="","",VLOOKUP(H27,名簿ﾏｽﾀｰ!$J$7:$K$56,2,0))</f>
        <v/>
      </c>
      <c r="J27" s="77" t="str">
        <f>IF(VLOOKUP(H27,名簿ﾏｽﾀｰ!$J$7:$Q$56,7,0)="","",VLOOKUP(H27,名簿ﾏｽﾀｰ!$J$7:$Q$56,7,0))</f>
        <v/>
      </c>
      <c r="K27" s="77" t="str">
        <f>IF(I27="","",IF(J27=1,COUNTIF(入力ﾌｫｰﾑ!$U$3:$U$10,$H27)+COUNTIF(入力ﾌｫｰﾑ!$U$20:$U$27,$H27),IF(J27=2,"")))</f>
        <v/>
      </c>
      <c r="L27" s="77" t="str">
        <f t="shared" si="0"/>
        <v/>
      </c>
      <c r="N27" s="111">
        <v>8</v>
      </c>
      <c r="O27" s="111">
        <f t="shared" si="8"/>
        <v>1</v>
      </c>
      <c r="P27" s="111">
        <f t="shared" si="9"/>
        <v>0</v>
      </c>
      <c r="Q27" s="111" t="str">
        <f t="shared" si="4"/>
        <v/>
      </c>
      <c r="R27" s="111" t="str">
        <f t="shared" si="5"/>
        <v/>
      </c>
      <c r="S27" s="111" t="str">
        <f t="shared" si="6"/>
        <v/>
      </c>
      <c r="U27" s="68"/>
      <c r="V27" s="72"/>
      <c r="W27" s="116" t="str">
        <f t="shared" si="7"/>
        <v/>
      </c>
      <c r="X27" s="116" t="str">
        <f>IF($U27="","",(VLOOKUP($U27,名簿ﾏｽﾀｰ!$B$7:$Q$56,10,0)))</f>
        <v/>
      </c>
      <c r="Y27" s="116" t="str">
        <f>IF($U27="","",(VLOOKUP($U27,名簿ﾏｽﾀｰ!$B$7:$Q$56,2,0)))</f>
        <v/>
      </c>
      <c r="Z27" s="116" t="str">
        <f>IF($U27="","",(VLOOKUP($U27,名簿ﾏｽﾀｰ!$B$7:$Q$56,3,0)))</f>
        <v/>
      </c>
      <c r="AA27" s="116" t="str">
        <f>IF($U27="","",(VLOOKUP($U27,名簿ﾏｽﾀｰ!$B$7:$Q$56,4,0)))</f>
        <v/>
      </c>
      <c r="AB27" s="116" t="str">
        <f>IF($U27="","",(VLOOKUP($U27,名簿ﾏｽﾀｰ!$B$7:$Q$56,5,0)))</f>
        <v/>
      </c>
      <c r="AC27" s="116" t="str">
        <f>IF($U27="","",(VLOOKUP($U27,名簿ﾏｽﾀｰ!$B$7:$Q$56,12,0)))</f>
        <v/>
      </c>
      <c r="AD27" s="116" t="str">
        <f>IF($U27="","",(VLOOKUP($U27,名簿ﾏｽﾀｰ!$B$7:$Q$56,13,0)))</f>
        <v/>
      </c>
      <c r="AE27" s="116" t="str">
        <f>IF($U27="","",(VLOOKUP($U27,名簿ﾏｽﾀｰ!$B$7:$Q$56,14,0)))</f>
        <v/>
      </c>
      <c r="AF27" s="132"/>
    </row>
    <row r="28" spans="1:32" ht="15.75" customHeight="1" x14ac:dyDescent="0.15">
      <c r="B28" s="106"/>
      <c r="H28" s="111">
        <v>27</v>
      </c>
      <c r="I28" s="111" t="str">
        <f>IF(VLOOKUP(H28,名簿ﾏｽﾀｰ!$J$7:$K$56,2,0)="","",VLOOKUP(H28,名簿ﾏｽﾀｰ!$J$7:$K$56,2,0))</f>
        <v/>
      </c>
      <c r="J28" s="77" t="str">
        <f>IF(VLOOKUP(H28,名簿ﾏｽﾀｰ!$J$7:$Q$56,7,0)="","",VLOOKUP(H28,名簿ﾏｽﾀｰ!$J$7:$Q$56,7,0))</f>
        <v/>
      </c>
      <c r="K28" s="77" t="str">
        <f>IF(I28="","",IF(J28=1,COUNTIF(入力ﾌｫｰﾑ!$U$3:$U$10,$H28)+COUNTIF(入力ﾌｫｰﾑ!$U$20:$U$27,$H28),IF(J28=2,"")))</f>
        <v/>
      </c>
      <c r="L28" s="77" t="str">
        <f t="shared" si="0"/>
        <v/>
      </c>
      <c r="N28" s="111">
        <v>9</v>
      </c>
      <c r="O28" s="111">
        <f t="shared" si="8"/>
        <v>1</v>
      </c>
      <c r="P28" s="111">
        <f t="shared" si="9"/>
        <v>0</v>
      </c>
      <c r="Q28" s="111" t="e">
        <f>IF(#REF!="","",LEFT(#REF!,2))</f>
        <v>#REF!</v>
      </c>
      <c r="R28" s="111" t="e">
        <f>IF(#REF!="","",RIGHT(#REF!,1))</f>
        <v>#REF!</v>
      </c>
      <c r="S28" s="111" t="e">
        <f>IF(#REF!="","",VALUE(CONCATENATE(O28,P28,Q28,R28)))</f>
        <v>#REF!</v>
      </c>
      <c r="U28" s="107" t="s">
        <v>111</v>
      </c>
      <c r="V28" s="128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</row>
    <row r="29" spans="1:32" ht="15.75" customHeight="1" x14ac:dyDescent="0.15">
      <c r="B29" s="106"/>
      <c r="H29" s="111">
        <v>28</v>
      </c>
      <c r="I29" s="111" t="str">
        <f>IF(VLOOKUP(H29,名簿ﾏｽﾀｰ!$J$7:$K$56,2,0)="","",VLOOKUP(H29,名簿ﾏｽﾀｰ!$J$7:$K$56,2,0))</f>
        <v/>
      </c>
      <c r="J29" s="77" t="str">
        <f>IF(VLOOKUP(H29,名簿ﾏｽﾀｰ!$J$7:$Q$56,7,0)="","",VLOOKUP(H29,名簿ﾏｽﾀｰ!$J$7:$Q$56,7,0))</f>
        <v/>
      </c>
      <c r="K29" s="77" t="str">
        <f>IF(I29="","",IF(J29=1,COUNTIF(入力ﾌｫｰﾑ!$U$3:$U$10,$H29)+COUNTIF(入力ﾌｫｰﾑ!$U$20:$U$27,$H29),IF(J29=2,"")))</f>
        <v/>
      </c>
      <c r="L29" s="77" t="str">
        <f t="shared" si="0"/>
        <v/>
      </c>
      <c r="N29" s="111">
        <v>10</v>
      </c>
      <c r="O29" s="111">
        <f t="shared" si="8"/>
        <v>1</v>
      </c>
      <c r="P29" s="111">
        <f t="shared" si="9"/>
        <v>0</v>
      </c>
      <c r="Q29" s="111" t="e">
        <f>IF(#REF!="","",LEFT(#REF!,2))</f>
        <v>#REF!</v>
      </c>
      <c r="R29" s="111" t="e">
        <f>IF(#REF!="","",RIGHT(#REF!,1))</f>
        <v>#REF!</v>
      </c>
      <c r="S29" s="111" t="e">
        <f>IF(#REF!="","",VALUE(CONCATENATE(O29,P29,Q29,R29)))</f>
        <v>#REF!</v>
      </c>
      <c r="U29" s="115" t="s">
        <v>113</v>
      </c>
      <c r="V29" s="116" t="s">
        <v>79</v>
      </c>
      <c r="W29" s="117" t="s">
        <v>98</v>
      </c>
      <c r="X29" s="116" t="s">
        <v>99</v>
      </c>
      <c r="Y29" s="116" t="s">
        <v>37</v>
      </c>
      <c r="Z29" s="116" t="s">
        <v>103</v>
      </c>
      <c r="AA29" s="116" t="s">
        <v>104</v>
      </c>
      <c r="AB29" s="116" t="s">
        <v>105</v>
      </c>
      <c r="AC29" s="116" t="s">
        <v>11</v>
      </c>
      <c r="AD29" s="116" t="s">
        <v>36</v>
      </c>
      <c r="AE29" s="116" t="s">
        <v>78</v>
      </c>
      <c r="AF29" s="116" t="s">
        <v>110</v>
      </c>
    </row>
    <row r="30" spans="1:32" ht="15.75" customHeight="1" x14ac:dyDescent="0.15">
      <c r="B30" s="106"/>
      <c r="H30" s="111">
        <v>29</v>
      </c>
      <c r="I30" s="111" t="str">
        <f>IF(VLOOKUP(H30,名簿ﾏｽﾀｰ!$J$7:$K$56,2,0)="","",VLOOKUP(H30,名簿ﾏｽﾀｰ!$J$7:$K$56,2,0))</f>
        <v/>
      </c>
      <c r="J30" s="77" t="str">
        <f>IF(VLOOKUP(H30,名簿ﾏｽﾀｰ!$J$7:$Q$56,7,0)="","",VLOOKUP(H30,名簿ﾏｽﾀｰ!$J$7:$Q$56,7,0))</f>
        <v/>
      </c>
      <c r="K30" s="77" t="str">
        <f>IF(I30="","",IF(J30=1,COUNTIF(入力ﾌｫｰﾑ!$U$3:$U$10,$H30)+COUNTIF(入力ﾌｫｰﾑ!$U$20:$U$27,$H30),IF(J30=2,"")))</f>
        <v/>
      </c>
      <c r="L30" s="77" t="str">
        <f t="shared" si="0"/>
        <v/>
      </c>
      <c r="U30" s="68"/>
      <c r="V30" s="72"/>
      <c r="W30" s="116" t="str">
        <f t="shared" ref="W30:W37" si="10">IF(U30="","",S32)</f>
        <v/>
      </c>
      <c r="X30" s="116" t="str">
        <f>IF($U30="","",(VLOOKUP($U30,名簿ﾏｽﾀｰ!$B$7:$Q$56,10,0)))</f>
        <v/>
      </c>
      <c r="Y30" s="116" t="str">
        <f>IF($U30="","",(VLOOKUP($U30,名簿ﾏｽﾀｰ!$B$7:$Q$56,2,0)))</f>
        <v/>
      </c>
      <c r="Z30" s="116" t="str">
        <f>IF($U30="","",(VLOOKUP($U30,名簿ﾏｽﾀｰ!$B$7:$Q$56,3,0)))</f>
        <v/>
      </c>
      <c r="AA30" s="116" t="str">
        <f>IF($U30="","",(VLOOKUP($U30,名簿ﾏｽﾀｰ!$B$7:$Q$56,4,0)))</f>
        <v/>
      </c>
      <c r="AB30" s="116" t="str">
        <f>IF($U30="","",(VLOOKUP($U30,名簿ﾏｽﾀｰ!$B$7:$Q$56,5,0)))</f>
        <v/>
      </c>
      <c r="AC30" s="116" t="str">
        <f>IF($U30="","",(VLOOKUP($U30,名簿ﾏｽﾀｰ!$B$7:$Q$56,12,0)))</f>
        <v/>
      </c>
      <c r="AD30" s="116" t="str">
        <f>IF($U30="","",(VLOOKUP($U30,名簿ﾏｽﾀｰ!$B$7:$Q$56,13,0)))</f>
        <v/>
      </c>
      <c r="AE30" s="116" t="str">
        <f>IF($U30="","",(VLOOKUP($U30,名簿ﾏｽﾀｰ!$B$7:$Q$56,14,0)))</f>
        <v/>
      </c>
      <c r="AF30" s="132"/>
    </row>
    <row r="31" spans="1:32" ht="15.75" customHeight="1" x14ac:dyDescent="0.15">
      <c r="B31" s="106"/>
      <c r="H31" s="111">
        <v>30</v>
      </c>
      <c r="I31" s="111" t="str">
        <f>IF(VLOOKUP(H31,名簿ﾏｽﾀｰ!$J$7:$K$56,2,0)="","",VLOOKUP(H31,名簿ﾏｽﾀｰ!$J$7:$K$56,2,0))</f>
        <v/>
      </c>
      <c r="J31" s="77" t="str">
        <f>IF(VLOOKUP(H31,名簿ﾏｽﾀｰ!$J$7:$Q$56,7,0)="","",VLOOKUP(H31,名簿ﾏｽﾀｰ!$J$7:$Q$56,7,0))</f>
        <v/>
      </c>
      <c r="K31" s="77" t="str">
        <f>IF(I31="","",IF(J31=1,COUNTIF(入力ﾌｫｰﾑ!$U$3:$U$10,$H31)+COUNTIF(入力ﾌｫｰﾑ!$U$20:$U$27,$H31),IF(J31=2,"")))</f>
        <v/>
      </c>
      <c r="L31" s="77" t="str">
        <f t="shared" si="0"/>
        <v/>
      </c>
      <c r="N31" s="113" t="s">
        <v>176</v>
      </c>
      <c r="O31" s="113" t="s">
        <v>171</v>
      </c>
      <c r="P31" s="113" t="s">
        <v>172</v>
      </c>
      <c r="Q31" s="113" t="s">
        <v>173</v>
      </c>
      <c r="R31" s="113" t="s">
        <v>174</v>
      </c>
      <c r="S31" s="113" t="s">
        <v>177</v>
      </c>
      <c r="U31" s="68"/>
      <c r="V31" s="72"/>
      <c r="W31" s="116" t="str">
        <f t="shared" si="10"/>
        <v/>
      </c>
      <c r="X31" s="116" t="str">
        <f>IF($U31="","",(VLOOKUP($U31,名簿ﾏｽﾀｰ!$B$7:$Q$56,10,0)))</f>
        <v/>
      </c>
      <c r="Y31" s="116" t="str">
        <f>IF($U31="","",(VLOOKUP($U31,名簿ﾏｽﾀｰ!$B$7:$Q$56,2,0)))</f>
        <v/>
      </c>
      <c r="Z31" s="116" t="str">
        <f>IF($U31="","",(VLOOKUP($U31,名簿ﾏｽﾀｰ!$B$7:$Q$56,3,0)))</f>
        <v/>
      </c>
      <c r="AA31" s="116" t="str">
        <f>IF($U31="","",(VLOOKUP($U31,名簿ﾏｽﾀｰ!$B$7:$Q$56,4,0)))</f>
        <v/>
      </c>
      <c r="AB31" s="116" t="str">
        <f>IF($U31="","",(VLOOKUP($U31,名簿ﾏｽﾀｰ!$B$7:$Q$56,5,0)))</f>
        <v/>
      </c>
      <c r="AC31" s="116" t="str">
        <f>IF($U31="","",(VLOOKUP($U31,名簿ﾏｽﾀｰ!$B$7:$Q$56,12,0)))</f>
        <v/>
      </c>
      <c r="AD31" s="116" t="str">
        <f>IF($U31="","",(VLOOKUP($U31,名簿ﾏｽﾀｰ!$B$7:$Q$56,13,0)))</f>
        <v/>
      </c>
      <c r="AE31" s="116" t="str">
        <f>IF($U31="","",(VLOOKUP($U31,名簿ﾏｽﾀｰ!$B$7:$Q$56,14,0)))</f>
        <v/>
      </c>
      <c r="AF31" s="132"/>
    </row>
    <row r="32" spans="1:32" ht="15.75" customHeight="1" x14ac:dyDescent="0.15">
      <c r="B32" s="106"/>
      <c r="C32" s="107" t="s">
        <v>109</v>
      </c>
      <c r="H32" s="111">
        <v>31</v>
      </c>
      <c r="I32" s="111" t="str">
        <f>IF(VLOOKUP(H32,名簿ﾏｽﾀｰ!$J$7:$K$56,2,0)="","",VLOOKUP(H32,名簿ﾏｽﾀｰ!$J$7:$K$56,2,0))</f>
        <v/>
      </c>
      <c r="J32" s="77" t="str">
        <f>IF(VLOOKUP(H32,名簿ﾏｽﾀｰ!$J$7:$Q$56,7,0)="","",VLOOKUP(H32,名簿ﾏｽﾀｰ!$J$7:$Q$56,7,0))</f>
        <v/>
      </c>
      <c r="K32" s="77" t="str">
        <f>IF(I32="","",IF(J32=1,COUNTIF(入力ﾌｫｰﾑ!$U$3:$U$10,$H32)+COUNTIF(入力ﾌｫｰﾑ!$U$20:$U$27,$H32),IF(J32=2,"")))</f>
        <v/>
      </c>
      <c r="L32" s="77" t="str">
        <f t="shared" si="0"/>
        <v/>
      </c>
      <c r="N32" s="111">
        <v>1</v>
      </c>
      <c r="O32" s="120">
        <v>2</v>
      </c>
      <c r="P32" s="120">
        <f>メインシート!$C$8</f>
        <v>0</v>
      </c>
      <c r="Q32" s="120" t="str">
        <f t="shared" ref="Q32:Q39" si="11">IF($U30="","",LEFT($V30,2))</f>
        <v/>
      </c>
      <c r="R32" s="120" t="str">
        <f t="shared" ref="R32:R39" si="12">IF($U30="","",RIGHT($V30,1))</f>
        <v/>
      </c>
      <c r="S32" s="120" t="str">
        <f t="shared" ref="S32:S39" si="13">IF(U30="","",VALUE(CONCATENATE(O32,P32,Q32,R32)))</f>
        <v/>
      </c>
      <c r="U32" s="68"/>
      <c r="V32" s="72"/>
      <c r="W32" s="116" t="str">
        <f t="shared" si="10"/>
        <v/>
      </c>
      <c r="X32" s="116" t="str">
        <f>IF($U32="","",(VLOOKUP($U32,名簿ﾏｽﾀｰ!$B$7:$Q$56,10,0)))</f>
        <v/>
      </c>
      <c r="Y32" s="116" t="str">
        <f>IF($U32="","",(VLOOKUP($U32,名簿ﾏｽﾀｰ!$B$7:$Q$56,2,0)))</f>
        <v/>
      </c>
      <c r="Z32" s="116" t="str">
        <f>IF($U32="","",(VLOOKUP($U32,名簿ﾏｽﾀｰ!$B$7:$Q$56,3,0)))</f>
        <v/>
      </c>
      <c r="AA32" s="116" t="str">
        <f>IF($U32="","",(VLOOKUP($U32,名簿ﾏｽﾀｰ!$B$7:$Q$56,4,0)))</f>
        <v/>
      </c>
      <c r="AB32" s="116" t="str">
        <f>IF($U32="","",(VLOOKUP($U32,名簿ﾏｽﾀｰ!$B$7:$Q$56,5,0)))</f>
        <v/>
      </c>
      <c r="AC32" s="116" t="str">
        <f>IF($U32="","",(VLOOKUP($U32,名簿ﾏｽﾀｰ!$B$7:$Q$56,12,0)))</f>
        <v/>
      </c>
      <c r="AD32" s="116" t="str">
        <f>IF($U32="","",(VLOOKUP($U32,名簿ﾏｽﾀｰ!$B$7:$Q$56,13,0)))</f>
        <v/>
      </c>
      <c r="AE32" s="116" t="str">
        <f>IF($U32="","",(VLOOKUP($U32,名簿ﾏｽﾀｰ!$B$7:$Q$56,14,0)))</f>
        <v/>
      </c>
      <c r="AF32" s="132"/>
    </row>
    <row r="33" spans="2:32" ht="15.75" customHeight="1" x14ac:dyDescent="0.15">
      <c r="C33" s="115" t="s">
        <v>212</v>
      </c>
      <c r="D33" s="116" t="s">
        <v>79</v>
      </c>
      <c r="H33" s="111">
        <v>32</v>
      </c>
      <c r="I33" s="111" t="str">
        <f>IF(VLOOKUP(H33,名簿ﾏｽﾀｰ!$J$7:$K$56,2,0)="","",VLOOKUP(H33,名簿ﾏｽﾀｰ!$J$7:$K$56,2,0))</f>
        <v/>
      </c>
      <c r="J33" s="77" t="str">
        <f>IF(VLOOKUP(H33,名簿ﾏｽﾀｰ!$J$7:$Q$56,7,0)="","",VLOOKUP(H33,名簿ﾏｽﾀｰ!$J$7:$Q$56,7,0))</f>
        <v/>
      </c>
      <c r="K33" s="77" t="str">
        <f>IF(I33="","",IF(J33=1,COUNTIF(入力ﾌｫｰﾑ!$U$3:$U$10,$H33)+COUNTIF(入力ﾌｫｰﾑ!$U$20:$U$27,$H33),IF(J33=2,"")))</f>
        <v/>
      </c>
      <c r="L33" s="77" t="str">
        <f t="shared" si="0"/>
        <v/>
      </c>
      <c r="N33" s="111">
        <v>2</v>
      </c>
      <c r="O33" s="111">
        <f t="shared" ref="O33:O41" si="14">O32</f>
        <v>2</v>
      </c>
      <c r="P33" s="111">
        <f t="shared" ref="P33:P41" si="15">P32</f>
        <v>0</v>
      </c>
      <c r="Q33" s="111" t="str">
        <f t="shared" si="11"/>
        <v/>
      </c>
      <c r="R33" s="111" t="str">
        <f t="shared" si="12"/>
        <v/>
      </c>
      <c r="S33" s="111" t="str">
        <f t="shared" si="13"/>
        <v/>
      </c>
      <c r="U33" s="68"/>
      <c r="V33" s="72"/>
      <c r="W33" s="116" t="str">
        <f t="shared" si="10"/>
        <v/>
      </c>
      <c r="X33" s="116" t="str">
        <f>IF($U33="","",(VLOOKUP($U33,名簿ﾏｽﾀｰ!$B$7:$Q$56,10,0)))</f>
        <v/>
      </c>
      <c r="Y33" s="116" t="str">
        <f>IF($U33="","",(VLOOKUP($U33,名簿ﾏｽﾀｰ!$B$7:$Q$56,2,0)))</f>
        <v/>
      </c>
      <c r="Z33" s="116" t="str">
        <f>IF($U33="","",(VLOOKUP($U33,名簿ﾏｽﾀｰ!$B$7:$Q$56,3,0)))</f>
        <v/>
      </c>
      <c r="AA33" s="116" t="str">
        <f>IF($U33="","",(VLOOKUP($U33,名簿ﾏｽﾀｰ!$B$7:$Q$56,4,0)))</f>
        <v/>
      </c>
      <c r="AB33" s="116" t="str">
        <f>IF($U33="","",(VLOOKUP($U33,名簿ﾏｽﾀｰ!$B$7:$Q$56,5,0)))</f>
        <v/>
      </c>
      <c r="AC33" s="116" t="str">
        <f>IF($U33="","",(VLOOKUP($U33,名簿ﾏｽﾀｰ!$B$7:$Q$56,12,0)))</f>
        <v/>
      </c>
      <c r="AD33" s="116" t="str">
        <f>IF($U33="","",(VLOOKUP($U33,名簿ﾏｽﾀｰ!$B$7:$Q$56,13,0)))</f>
        <v/>
      </c>
      <c r="AE33" s="116" t="str">
        <f>IF($U33="","",(VLOOKUP($U33,名簿ﾏｽﾀｰ!$B$7:$Q$56,14,0)))</f>
        <v/>
      </c>
      <c r="AF33" s="132"/>
    </row>
    <row r="34" spans="2:32" ht="15.75" customHeight="1" x14ac:dyDescent="0.15">
      <c r="C34" s="68">
        <v>1</v>
      </c>
      <c r="D34" s="72">
        <v>731</v>
      </c>
      <c r="H34" s="111">
        <v>33</v>
      </c>
      <c r="I34" s="111" t="str">
        <f>IF(VLOOKUP(H34,名簿ﾏｽﾀｰ!$J$7:$K$56,2,0)="","",VLOOKUP(H34,名簿ﾏｽﾀｰ!$J$7:$K$56,2,0))</f>
        <v/>
      </c>
      <c r="J34" s="77" t="str">
        <f>IF(VLOOKUP(H34,名簿ﾏｽﾀｰ!$J$7:$Q$56,7,0)="","",VLOOKUP(H34,名簿ﾏｽﾀｰ!$J$7:$Q$56,7,0))</f>
        <v/>
      </c>
      <c r="K34" s="77" t="str">
        <f>IF(I34="","",IF(J34=1,COUNTIF(入力ﾌｫｰﾑ!$U$3:$U$10,$H34)+COUNTIF(入力ﾌｫｰﾑ!$U$20:$U$27,$H34),IF(J34=2,"")))</f>
        <v/>
      </c>
      <c r="L34" s="77" t="str">
        <f t="shared" ref="L34:L51" si="16">IF(I34="","",IF(J34=2,COUNTIF($U$13:$U$17,$H34)+COUNTIF($U$30:$U$37,$H34),IF(J34=1,"")))</f>
        <v/>
      </c>
      <c r="N34" s="111">
        <v>3</v>
      </c>
      <c r="O34" s="111">
        <f t="shared" si="14"/>
        <v>2</v>
      </c>
      <c r="P34" s="111">
        <f t="shared" si="15"/>
        <v>0</v>
      </c>
      <c r="Q34" s="111" t="str">
        <f t="shared" si="11"/>
        <v/>
      </c>
      <c r="R34" s="111" t="str">
        <f t="shared" si="12"/>
        <v/>
      </c>
      <c r="S34" s="111" t="str">
        <f t="shared" si="13"/>
        <v/>
      </c>
      <c r="U34" s="68"/>
      <c r="V34" s="72"/>
      <c r="W34" s="116" t="str">
        <f t="shared" si="10"/>
        <v/>
      </c>
      <c r="X34" s="116" t="str">
        <f>IF($U34="","",(VLOOKUP($U34,名簿ﾏｽﾀｰ!$B$7:$Q$56,10,0)))</f>
        <v/>
      </c>
      <c r="Y34" s="116" t="str">
        <f>IF($U34="","",(VLOOKUP($U34,名簿ﾏｽﾀｰ!$B$7:$Q$56,2,0)))</f>
        <v/>
      </c>
      <c r="Z34" s="116" t="str">
        <f>IF($U34="","",(VLOOKUP($U34,名簿ﾏｽﾀｰ!$B$7:$Q$56,3,0)))</f>
        <v/>
      </c>
      <c r="AA34" s="116" t="str">
        <f>IF($U34="","",(VLOOKUP($U34,名簿ﾏｽﾀｰ!$B$7:$Q$56,4,0)))</f>
        <v/>
      </c>
      <c r="AB34" s="116" t="str">
        <f>IF($U34="","",(VLOOKUP($U34,名簿ﾏｽﾀｰ!$B$7:$Q$56,5,0)))</f>
        <v/>
      </c>
      <c r="AC34" s="116" t="str">
        <f>IF($U34="","",(VLOOKUP($U34,名簿ﾏｽﾀｰ!$B$7:$Q$56,12,0)))</f>
        <v/>
      </c>
      <c r="AD34" s="116" t="str">
        <f>IF($U34="","",(VLOOKUP($U34,名簿ﾏｽﾀｰ!$B$7:$Q$56,13,0)))</f>
        <v/>
      </c>
      <c r="AE34" s="116" t="str">
        <f>IF($U34="","",(VLOOKUP($U34,名簿ﾏｽﾀｰ!$B$7:$Q$56,14,0)))</f>
        <v/>
      </c>
      <c r="AF34" s="132"/>
    </row>
    <row r="35" spans="2:32" ht="15.75" customHeight="1" x14ac:dyDescent="0.15">
      <c r="C35" s="68"/>
      <c r="D35" s="72"/>
      <c r="H35" s="111">
        <v>34</v>
      </c>
      <c r="I35" s="111" t="str">
        <f>IF(VLOOKUP(H35,名簿ﾏｽﾀｰ!$J$7:$K$56,2,0)="","",VLOOKUP(H35,名簿ﾏｽﾀｰ!$J$7:$K$56,2,0))</f>
        <v/>
      </c>
      <c r="J35" s="77" t="str">
        <f>IF(VLOOKUP(H35,名簿ﾏｽﾀｰ!$J$7:$Q$56,7,0)="","",VLOOKUP(H35,名簿ﾏｽﾀｰ!$J$7:$Q$56,7,0))</f>
        <v/>
      </c>
      <c r="K35" s="77" t="str">
        <f>IF(I35="","",IF(J35=1,COUNTIF(入力ﾌｫｰﾑ!$U$3:$U$10,$H35)+COUNTIF(入力ﾌｫｰﾑ!$U$20:$U$27,$H35),IF(J35=2,"")))</f>
        <v/>
      </c>
      <c r="L35" s="77" t="str">
        <f t="shared" si="16"/>
        <v/>
      </c>
      <c r="N35" s="111">
        <v>4</v>
      </c>
      <c r="O35" s="111">
        <f t="shared" si="14"/>
        <v>2</v>
      </c>
      <c r="P35" s="111">
        <f t="shared" si="15"/>
        <v>0</v>
      </c>
      <c r="Q35" s="111" t="str">
        <f t="shared" si="11"/>
        <v/>
      </c>
      <c r="R35" s="111" t="str">
        <f t="shared" si="12"/>
        <v/>
      </c>
      <c r="S35" s="111" t="str">
        <f t="shared" si="13"/>
        <v/>
      </c>
      <c r="U35" s="68"/>
      <c r="V35" s="72"/>
      <c r="W35" s="116" t="str">
        <f t="shared" si="10"/>
        <v/>
      </c>
      <c r="X35" s="116" t="str">
        <f>IF($U35="","",(VLOOKUP($U35,名簿ﾏｽﾀｰ!$B$7:$Q$56,10,0)))</f>
        <v/>
      </c>
      <c r="Y35" s="116" t="str">
        <f>IF($U35="","",(VLOOKUP($U35,名簿ﾏｽﾀｰ!$B$7:$Q$56,2,0)))</f>
        <v/>
      </c>
      <c r="Z35" s="116" t="str">
        <f>IF($U35="","",(VLOOKUP($U35,名簿ﾏｽﾀｰ!$B$7:$Q$56,3,0)))</f>
        <v/>
      </c>
      <c r="AA35" s="116" t="str">
        <f>IF($U35="","",(VLOOKUP($U35,名簿ﾏｽﾀｰ!$B$7:$Q$56,4,0)))</f>
        <v/>
      </c>
      <c r="AB35" s="116" t="str">
        <f>IF($U35="","",(VLOOKUP($U35,名簿ﾏｽﾀｰ!$B$7:$Q$56,5,0)))</f>
        <v/>
      </c>
      <c r="AC35" s="116" t="str">
        <f>IF($U35="","",(VLOOKUP($U35,名簿ﾏｽﾀｰ!$B$7:$Q$56,12,0)))</f>
        <v/>
      </c>
      <c r="AD35" s="116" t="str">
        <f>IF($U35="","",(VLOOKUP($U35,名簿ﾏｽﾀｰ!$B$7:$Q$56,13,0)))</f>
        <v/>
      </c>
      <c r="AE35" s="116" t="str">
        <f>IF($U35="","",(VLOOKUP($U35,名簿ﾏｽﾀｰ!$B$7:$Q$56,14,0)))</f>
        <v/>
      </c>
      <c r="AF35" s="132"/>
    </row>
    <row r="36" spans="2:32" ht="15.75" customHeight="1" x14ac:dyDescent="0.15">
      <c r="B36" s="106"/>
      <c r="C36" s="68"/>
      <c r="D36" s="72"/>
      <c r="H36" s="111">
        <v>35</v>
      </c>
      <c r="I36" s="111" t="str">
        <f>IF(VLOOKUP(H36,名簿ﾏｽﾀｰ!$J$7:$K$56,2,0)="","",VLOOKUP(H36,名簿ﾏｽﾀｰ!$J$7:$K$56,2,0))</f>
        <v/>
      </c>
      <c r="J36" s="77" t="str">
        <f>IF(VLOOKUP(H36,名簿ﾏｽﾀｰ!$J$7:$Q$56,7,0)="","",VLOOKUP(H36,名簿ﾏｽﾀｰ!$J$7:$Q$56,7,0))</f>
        <v/>
      </c>
      <c r="K36" s="77" t="str">
        <f>IF(I36="","",IF(J36=1,COUNTIF(入力ﾌｫｰﾑ!$U$3:$U$10,$H36)+COUNTIF(入力ﾌｫｰﾑ!$U$20:$U$27,$H36),IF(J36=2,"")))</f>
        <v/>
      </c>
      <c r="L36" s="77" t="str">
        <f t="shared" si="16"/>
        <v/>
      </c>
      <c r="N36" s="111">
        <v>5</v>
      </c>
      <c r="O36" s="111">
        <f t="shared" si="14"/>
        <v>2</v>
      </c>
      <c r="P36" s="111">
        <f t="shared" si="15"/>
        <v>0</v>
      </c>
      <c r="Q36" s="111" t="str">
        <f t="shared" si="11"/>
        <v/>
      </c>
      <c r="R36" s="111" t="str">
        <f t="shared" si="12"/>
        <v/>
      </c>
      <c r="S36" s="111" t="str">
        <f t="shared" si="13"/>
        <v/>
      </c>
      <c r="U36" s="68"/>
      <c r="V36" s="72"/>
      <c r="W36" s="116" t="str">
        <f t="shared" si="10"/>
        <v/>
      </c>
      <c r="X36" s="116" t="str">
        <f>IF($U36="","",(VLOOKUP($U36,名簿ﾏｽﾀｰ!$B$7:$Q$56,10,0)))</f>
        <v/>
      </c>
      <c r="Y36" s="116" t="str">
        <f>IF($U36="","",(VLOOKUP($U36,名簿ﾏｽﾀｰ!$B$7:$Q$56,2,0)))</f>
        <v/>
      </c>
      <c r="Z36" s="116" t="str">
        <f>IF($U36="","",(VLOOKUP($U36,名簿ﾏｽﾀｰ!$B$7:$Q$56,3,0)))</f>
        <v/>
      </c>
      <c r="AA36" s="116" t="str">
        <f>IF($U36="","",(VLOOKUP($U36,名簿ﾏｽﾀｰ!$B$7:$Q$56,4,0)))</f>
        <v/>
      </c>
      <c r="AB36" s="116" t="str">
        <f>IF($U36="","",(VLOOKUP($U36,名簿ﾏｽﾀｰ!$B$7:$Q$56,5,0)))</f>
        <v/>
      </c>
      <c r="AC36" s="116" t="str">
        <f>IF($U36="","",(VLOOKUP($U36,名簿ﾏｽﾀｰ!$B$7:$Q$56,12,0)))</f>
        <v/>
      </c>
      <c r="AD36" s="116" t="str">
        <f>IF($U36="","",(VLOOKUP($U36,名簿ﾏｽﾀｰ!$B$7:$Q$56,13,0)))</f>
        <v/>
      </c>
      <c r="AE36" s="116" t="str">
        <f>IF($U36="","",(VLOOKUP($U36,名簿ﾏｽﾀｰ!$B$7:$Q$56,14,0)))</f>
        <v/>
      </c>
      <c r="AF36" s="132"/>
    </row>
    <row r="37" spans="2:32" ht="15.75" customHeight="1" x14ac:dyDescent="0.15">
      <c r="B37" s="106"/>
      <c r="H37" s="111">
        <v>36</v>
      </c>
      <c r="I37" s="111" t="str">
        <f>IF(VLOOKUP(H37,名簿ﾏｽﾀｰ!$J$7:$K$56,2,0)="","",VLOOKUP(H37,名簿ﾏｽﾀｰ!$J$7:$K$56,2,0))</f>
        <v/>
      </c>
      <c r="J37" s="77" t="str">
        <f>IF(VLOOKUP(H37,名簿ﾏｽﾀｰ!$J$7:$Q$56,7,0)="","",VLOOKUP(H37,名簿ﾏｽﾀｰ!$J$7:$Q$56,7,0))</f>
        <v/>
      </c>
      <c r="K37" s="77" t="str">
        <f>IF(I37="","",IF(J37=1,COUNTIF(入力ﾌｫｰﾑ!$U$3:$U$10,$H37)+COUNTIF(入力ﾌｫｰﾑ!$U$20:$U$27,$H37),IF(J37=2,"")))</f>
        <v/>
      </c>
      <c r="L37" s="77" t="str">
        <f t="shared" si="16"/>
        <v/>
      </c>
      <c r="N37" s="111">
        <v>6</v>
      </c>
      <c r="O37" s="111">
        <f t="shared" si="14"/>
        <v>2</v>
      </c>
      <c r="P37" s="111">
        <f t="shared" si="15"/>
        <v>0</v>
      </c>
      <c r="Q37" s="111" t="str">
        <f t="shared" si="11"/>
        <v/>
      </c>
      <c r="R37" s="111" t="str">
        <f t="shared" si="12"/>
        <v/>
      </c>
      <c r="S37" s="111" t="str">
        <f t="shared" si="13"/>
        <v/>
      </c>
      <c r="U37" s="68"/>
      <c r="V37" s="72"/>
      <c r="W37" s="116" t="str">
        <f t="shared" si="10"/>
        <v/>
      </c>
      <c r="X37" s="116" t="str">
        <f>IF($U37="","",(VLOOKUP($U37,名簿ﾏｽﾀｰ!$B$7:$Q$56,10,0)))</f>
        <v/>
      </c>
      <c r="Y37" s="116" t="str">
        <f>IF($U37="","",(VLOOKUP($U37,名簿ﾏｽﾀｰ!$B$7:$Q$56,2,0)))</f>
        <v/>
      </c>
      <c r="Z37" s="116" t="str">
        <f>IF($U37="","",(VLOOKUP($U37,名簿ﾏｽﾀｰ!$B$7:$Q$56,3,0)))</f>
        <v/>
      </c>
      <c r="AA37" s="116" t="str">
        <f>IF($U37="","",(VLOOKUP($U37,名簿ﾏｽﾀｰ!$B$7:$Q$56,4,0)))</f>
        <v/>
      </c>
      <c r="AB37" s="116" t="str">
        <f>IF($U37="","",(VLOOKUP($U37,名簿ﾏｽﾀｰ!$B$7:$Q$56,5,0)))</f>
        <v/>
      </c>
      <c r="AC37" s="116" t="str">
        <f>IF($U37="","",(VLOOKUP($U37,名簿ﾏｽﾀｰ!$B$7:$Q$56,12,0)))</f>
        <v/>
      </c>
      <c r="AD37" s="116" t="str">
        <f>IF($U37="","",(VLOOKUP($U37,名簿ﾏｽﾀｰ!$B$7:$Q$56,13,0)))</f>
        <v/>
      </c>
      <c r="AE37" s="116" t="str">
        <f>IF($U37="","",(VLOOKUP($U37,名簿ﾏｽﾀｰ!$B$7:$Q$56,14,0)))</f>
        <v/>
      </c>
      <c r="AF37" s="132"/>
    </row>
    <row r="38" spans="2:32" ht="15.75" customHeight="1" x14ac:dyDescent="0.15">
      <c r="B38" s="106"/>
      <c r="H38" s="111">
        <v>37</v>
      </c>
      <c r="I38" s="111" t="str">
        <f>IF(VLOOKUP(H38,名簿ﾏｽﾀｰ!$J$7:$K$56,2,0)="","",VLOOKUP(H38,名簿ﾏｽﾀｰ!$J$7:$K$56,2,0))</f>
        <v/>
      </c>
      <c r="J38" s="77" t="str">
        <f>IF(VLOOKUP(H38,名簿ﾏｽﾀｰ!$J$7:$Q$56,7,0)="","",VLOOKUP(H38,名簿ﾏｽﾀｰ!$J$7:$Q$56,7,0))</f>
        <v/>
      </c>
      <c r="K38" s="77" t="str">
        <f>IF(I38="","",IF(J38=1,COUNTIF(入力ﾌｫｰﾑ!$U$3:$U$10,$H38)+COUNTIF(入力ﾌｫｰﾑ!$U$20:$U$27,$H38),IF(J38=2,"")))</f>
        <v/>
      </c>
      <c r="L38" s="77" t="str">
        <f t="shared" si="16"/>
        <v/>
      </c>
      <c r="N38" s="111">
        <v>7</v>
      </c>
      <c r="O38" s="111">
        <f t="shared" si="14"/>
        <v>2</v>
      </c>
      <c r="P38" s="111">
        <f t="shared" si="15"/>
        <v>0</v>
      </c>
      <c r="Q38" s="111" t="str">
        <f t="shared" si="11"/>
        <v/>
      </c>
      <c r="R38" s="111" t="str">
        <f t="shared" si="12"/>
        <v/>
      </c>
      <c r="S38" s="111" t="str">
        <f t="shared" si="13"/>
        <v/>
      </c>
    </row>
    <row r="39" spans="2:32" ht="15.75" customHeight="1" x14ac:dyDescent="0.15">
      <c r="H39" s="111">
        <v>38</v>
      </c>
      <c r="I39" s="111" t="str">
        <f>IF(VLOOKUP(H39,名簿ﾏｽﾀｰ!$J$7:$K$56,2,0)="","",VLOOKUP(H39,名簿ﾏｽﾀｰ!$J$7:$K$56,2,0))</f>
        <v/>
      </c>
      <c r="J39" s="77" t="str">
        <f>IF(VLOOKUP(H39,名簿ﾏｽﾀｰ!$J$7:$Q$56,7,0)="","",VLOOKUP(H39,名簿ﾏｽﾀｰ!$J$7:$Q$56,7,0))</f>
        <v/>
      </c>
      <c r="K39" s="77" t="str">
        <f>IF(I39="","",IF(J39=1,COUNTIF(入力ﾌｫｰﾑ!$U$3:$U$10,$H39)+COUNTIF(入力ﾌｫｰﾑ!$U$20:$U$27,$H39),IF(J39=2,"")))</f>
        <v/>
      </c>
      <c r="L39" s="77" t="str">
        <f t="shared" si="16"/>
        <v/>
      </c>
      <c r="N39" s="111">
        <v>8</v>
      </c>
      <c r="O39" s="111">
        <f t="shared" si="14"/>
        <v>2</v>
      </c>
      <c r="P39" s="111">
        <f t="shared" si="15"/>
        <v>0</v>
      </c>
      <c r="Q39" s="111" t="str">
        <f t="shared" si="11"/>
        <v/>
      </c>
      <c r="R39" s="111" t="str">
        <f t="shared" si="12"/>
        <v/>
      </c>
      <c r="S39" s="111" t="str">
        <f t="shared" si="13"/>
        <v/>
      </c>
    </row>
    <row r="40" spans="2:32" ht="15.75" customHeight="1" x14ac:dyDescent="0.15">
      <c r="H40" s="111">
        <v>39</v>
      </c>
      <c r="I40" s="111" t="str">
        <f>IF(VLOOKUP(H40,名簿ﾏｽﾀｰ!$J$7:$K$56,2,0)="","",VLOOKUP(H40,名簿ﾏｽﾀｰ!$J$7:$K$56,2,0))</f>
        <v/>
      </c>
      <c r="J40" s="77" t="str">
        <f>IF(VLOOKUP(H40,名簿ﾏｽﾀｰ!$J$7:$Q$56,7,0)="","",VLOOKUP(H40,名簿ﾏｽﾀｰ!$J$7:$Q$56,7,0))</f>
        <v/>
      </c>
      <c r="K40" s="77" t="str">
        <f>IF(I40="","",IF(J40=1,COUNTIF(入力ﾌｫｰﾑ!$U$3:$U$10,$H40)+COUNTIF(入力ﾌｫｰﾑ!$U$20:$U$27,$H40),IF(J40=2,"")))</f>
        <v/>
      </c>
      <c r="L40" s="77" t="str">
        <f t="shared" si="16"/>
        <v/>
      </c>
      <c r="N40" s="111">
        <v>9</v>
      </c>
      <c r="O40" s="111">
        <f t="shared" si="14"/>
        <v>2</v>
      </c>
      <c r="P40" s="111">
        <f t="shared" si="15"/>
        <v>0</v>
      </c>
      <c r="Q40" s="111" t="e">
        <f>IF(#REF!="","",LEFT(#REF!,2))</f>
        <v>#REF!</v>
      </c>
      <c r="R40" s="111" t="e">
        <f>IF(#REF!="","",RIGHT(#REF!,1))</f>
        <v>#REF!</v>
      </c>
      <c r="S40" s="111" t="e">
        <f>IF(#REF!="","",VALUE(CONCATENATE(O40,P40,Q40,R40)))</f>
        <v>#REF!</v>
      </c>
    </row>
    <row r="41" spans="2:32" ht="15.75" customHeight="1" x14ac:dyDescent="0.15">
      <c r="H41" s="111">
        <v>40</v>
      </c>
      <c r="I41" s="111" t="str">
        <f>IF(VLOOKUP(H41,名簿ﾏｽﾀｰ!$J$7:$K$56,2,0)="","",VLOOKUP(H41,名簿ﾏｽﾀｰ!$J$7:$K$56,2,0))</f>
        <v/>
      </c>
      <c r="J41" s="77" t="str">
        <f>IF(VLOOKUP(H41,名簿ﾏｽﾀｰ!$J$7:$Q$56,7,0)="","",VLOOKUP(H41,名簿ﾏｽﾀｰ!$J$7:$Q$56,7,0))</f>
        <v/>
      </c>
      <c r="K41" s="77" t="str">
        <f>IF(I41="","",IF(J41=1,COUNTIF(入力ﾌｫｰﾑ!$U$3:$U$10,$H41)+COUNTIF(入力ﾌｫｰﾑ!$U$20:$U$27,$H41),IF(J41=2,"")))</f>
        <v/>
      </c>
      <c r="L41" s="77" t="str">
        <f t="shared" si="16"/>
        <v/>
      </c>
      <c r="N41" s="111">
        <v>10</v>
      </c>
      <c r="O41" s="111">
        <f t="shared" si="14"/>
        <v>2</v>
      </c>
      <c r="P41" s="111">
        <f t="shared" si="15"/>
        <v>0</v>
      </c>
      <c r="Q41" s="111" t="e">
        <f>IF(#REF!="","",LEFT(#REF!,2))</f>
        <v>#REF!</v>
      </c>
      <c r="R41" s="111" t="e">
        <f>IF(#REF!="","",RIGHT(#REF!,1))</f>
        <v>#REF!</v>
      </c>
      <c r="S41" s="111" t="e">
        <f>IF(#REF!="","",VALUE(CONCATENATE(O41,P41,Q41,R41)))</f>
        <v>#REF!</v>
      </c>
    </row>
    <row r="42" spans="2:32" ht="15.75" customHeight="1" x14ac:dyDescent="0.15">
      <c r="H42" s="111">
        <v>41</v>
      </c>
      <c r="I42" s="111" t="str">
        <f>IF(VLOOKUP(H42,名簿ﾏｽﾀｰ!$J$7:$K$56,2,0)="","",VLOOKUP(H42,名簿ﾏｽﾀｰ!$J$7:$K$56,2,0))</f>
        <v/>
      </c>
      <c r="J42" s="77" t="str">
        <f>IF(VLOOKUP(H42,名簿ﾏｽﾀｰ!$J$7:$Q$56,7,0)="","",VLOOKUP(H42,名簿ﾏｽﾀｰ!$J$7:$Q$56,7,0))</f>
        <v/>
      </c>
      <c r="K42" s="77" t="str">
        <f>IF(I42="","",IF(J42=1,COUNTIF(入力ﾌｫｰﾑ!$U$3:$U$10,$H42)+COUNTIF(入力ﾌｫｰﾑ!$U$20:$U$27,$H42),IF(J42=2,"")))</f>
        <v/>
      </c>
      <c r="L42" s="77" t="str">
        <f t="shared" si="16"/>
        <v/>
      </c>
    </row>
    <row r="43" spans="2:32" ht="15.75" customHeight="1" x14ac:dyDescent="0.15">
      <c r="H43" s="111">
        <v>42</v>
      </c>
      <c r="I43" s="111" t="str">
        <f>IF(VLOOKUP(H43,名簿ﾏｽﾀｰ!$J$7:$K$56,2,0)="","",VLOOKUP(H43,名簿ﾏｽﾀｰ!$J$7:$K$56,2,0))</f>
        <v/>
      </c>
      <c r="J43" s="77" t="str">
        <f>IF(VLOOKUP(H43,名簿ﾏｽﾀｰ!$J$7:$Q$56,7,0)="","",VLOOKUP(H43,名簿ﾏｽﾀｰ!$J$7:$Q$56,7,0))</f>
        <v/>
      </c>
      <c r="K43" s="77" t="str">
        <f>IF(I43="","",IF(J43=1,COUNTIF(入力ﾌｫｰﾑ!$U$3:$U$10,$H43)+COUNTIF(入力ﾌｫｰﾑ!$U$20:$U$27,$H43),IF(J43=2,"")))</f>
        <v/>
      </c>
      <c r="L43" s="77" t="str">
        <f t="shared" si="16"/>
        <v/>
      </c>
    </row>
    <row r="44" spans="2:32" ht="15.75" customHeight="1" x14ac:dyDescent="0.15">
      <c r="H44" s="111">
        <v>43</v>
      </c>
      <c r="I44" s="111" t="str">
        <f>IF(VLOOKUP(H44,名簿ﾏｽﾀｰ!$J$7:$K$56,2,0)="","",VLOOKUP(H44,名簿ﾏｽﾀｰ!$J$7:$K$56,2,0))</f>
        <v/>
      </c>
      <c r="J44" s="77" t="str">
        <f>IF(VLOOKUP(H44,名簿ﾏｽﾀｰ!$J$7:$Q$56,7,0)="","",VLOOKUP(H44,名簿ﾏｽﾀｰ!$J$7:$Q$56,7,0))</f>
        <v/>
      </c>
      <c r="K44" s="77" t="str">
        <f>IF(I44="","",IF(J44=1,COUNTIF(入力ﾌｫｰﾑ!$U$3:$U$10,$H44)+COUNTIF(入力ﾌｫｰﾑ!$U$20:$U$27,$H44),IF(J44=2,"")))</f>
        <v/>
      </c>
      <c r="L44" s="77" t="str">
        <f t="shared" si="16"/>
        <v/>
      </c>
    </row>
    <row r="45" spans="2:32" ht="15.75" customHeight="1" x14ac:dyDescent="0.15">
      <c r="H45" s="111">
        <v>44</v>
      </c>
      <c r="I45" s="111" t="str">
        <f>IF(VLOOKUP(H45,名簿ﾏｽﾀｰ!$J$7:$K$56,2,0)="","",VLOOKUP(H45,名簿ﾏｽﾀｰ!$J$7:$K$56,2,0))</f>
        <v/>
      </c>
      <c r="J45" s="77" t="str">
        <f>IF(VLOOKUP(H45,名簿ﾏｽﾀｰ!$J$7:$Q$56,7,0)="","",VLOOKUP(H45,名簿ﾏｽﾀｰ!$J$7:$Q$56,7,0))</f>
        <v/>
      </c>
      <c r="K45" s="77" t="str">
        <f>IF(I45="","",IF(J45=1,COUNTIF(入力ﾌｫｰﾑ!$U$3:$U$10,$H45)+COUNTIF(入力ﾌｫｰﾑ!$U$20:$U$27,$H45),IF(J45=2,"")))</f>
        <v/>
      </c>
      <c r="L45" s="77" t="str">
        <f t="shared" si="16"/>
        <v/>
      </c>
    </row>
    <row r="46" spans="2:32" ht="15.75" customHeight="1" x14ac:dyDescent="0.15">
      <c r="H46" s="111">
        <v>45</v>
      </c>
      <c r="I46" s="111" t="str">
        <f>IF(VLOOKUP(H46,名簿ﾏｽﾀｰ!$J$7:$K$56,2,0)="","",VLOOKUP(H46,名簿ﾏｽﾀｰ!$J$7:$K$56,2,0))</f>
        <v/>
      </c>
      <c r="J46" s="77" t="str">
        <f>IF(VLOOKUP(H46,名簿ﾏｽﾀｰ!$J$7:$Q$56,7,0)="","",VLOOKUP(H46,名簿ﾏｽﾀｰ!$J$7:$Q$56,7,0))</f>
        <v/>
      </c>
      <c r="K46" s="77" t="str">
        <f>IF(I46="","",IF(J46=1,COUNTIF(入力ﾌｫｰﾑ!$U$3:$U$10,$H46)+COUNTIF(入力ﾌｫｰﾑ!$U$20:$U$27,$H46),IF(J46=2,"")))</f>
        <v/>
      </c>
      <c r="L46" s="77" t="str">
        <f t="shared" si="16"/>
        <v/>
      </c>
    </row>
    <row r="47" spans="2:32" ht="15.75" customHeight="1" x14ac:dyDescent="0.15">
      <c r="H47" s="111">
        <v>46</v>
      </c>
      <c r="I47" s="111" t="str">
        <f>IF(VLOOKUP(H47,名簿ﾏｽﾀｰ!$J$7:$K$56,2,0)="","",VLOOKUP(H47,名簿ﾏｽﾀｰ!$J$7:$K$56,2,0))</f>
        <v/>
      </c>
      <c r="J47" s="77" t="str">
        <f>IF(VLOOKUP(H47,名簿ﾏｽﾀｰ!$J$7:$Q$56,7,0)="","",VLOOKUP(H47,名簿ﾏｽﾀｰ!$J$7:$Q$56,7,0))</f>
        <v/>
      </c>
      <c r="K47" s="77" t="str">
        <f>IF(I47="","",IF(J47=1,COUNTIF(入力ﾌｫｰﾑ!$U$3:$U$10,$H47)+COUNTIF(入力ﾌｫｰﾑ!$U$20:$U$27,$H47),IF(J47=2,"")))</f>
        <v/>
      </c>
      <c r="L47" s="77" t="str">
        <f t="shared" si="16"/>
        <v/>
      </c>
    </row>
    <row r="48" spans="2:32" ht="15.75" customHeight="1" x14ac:dyDescent="0.15">
      <c r="H48" s="111">
        <v>47</v>
      </c>
      <c r="I48" s="111" t="str">
        <f>IF(VLOOKUP(H48,名簿ﾏｽﾀｰ!$J$7:$K$56,2,0)="","",VLOOKUP(H48,名簿ﾏｽﾀｰ!$J$7:$K$56,2,0))</f>
        <v/>
      </c>
      <c r="J48" s="77" t="str">
        <f>IF(VLOOKUP(H48,名簿ﾏｽﾀｰ!$J$7:$Q$56,7,0)="","",VLOOKUP(H48,名簿ﾏｽﾀｰ!$J$7:$Q$56,7,0))</f>
        <v/>
      </c>
      <c r="K48" s="77" t="str">
        <f>IF(I48="","",IF(J48=1,COUNTIF(入力ﾌｫｰﾑ!$U$3:$U$10,$H48)+COUNTIF(入力ﾌｫｰﾑ!$U$20:$U$27,$H48),IF(J48=2,"")))</f>
        <v/>
      </c>
      <c r="L48" s="77" t="str">
        <f t="shared" si="16"/>
        <v/>
      </c>
    </row>
    <row r="49" spans="8:12" ht="15.75" customHeight="1" x14ac:dyDescent="0.15">
      <c r="H49" s="111">
        <v>48</v>
      </c>
      <c r="I49" s="111" t="str">
        <f>IF(VLOOKUP(H49,名簿ﾏｽﾀｰ!$J$7:$K$56,2,0)="","",VLOOKUP(H49,名簿ﾏｽﾀｰ!$J$7:$K$56,2,0))</f>
        <v/>
      </c>
      <c r="J49" s="77" t="str">
        <f>IF(VLOOKUP(H49,名簿ﾏｽﾀｰ!$J$7:$Q$56,7,0)="","",VLOOKUP(H49,名簿ﾏｽﾀｰ!$J$7:$Q$56,7,0))</f>
        <v/>
      </c>
      <c r="K49" s="77" t="str">
        <f>IF(I49="","",IF(J49=1,COUNTIF(入力ﾌｫｰﾑ!$U$3:$U$10,$H49)+COUNTIF(入力ﾌｫｰﾑ!$U$20:$U$27,$H49),IF(J49=2,"")))</f>
        <v/>
      </c>
      <c r="L49" s="77" t="str">
        <f t="shared" si="16"/>
        <v/>
      </c>
    </row>
    <row r="50" spans="8:12" ht="15.75" customHeight="1" x14ac:dyDescent="0.15">
      <c r="H50" s="111">
        <v>49</v>
      </c>
      <c r="I50" s="111" t="str">
        <f>IF(VLOOKUP(H50,名簿ﾏｽﾀｰ!$J$7:$K$56,2,0)="","",VLOOKUP(H50,名簿ﾏｽﾀｰ!$J$7:$K$56,2,0))</f>
        <v/>
      </c>
      <c r="J50" s="77" t="str">
        <f>IF(VLOOKUP(H50,名簿ﾏｽﾀｰ!$J$7:$Q$56,7,0)="","",VLOOKUP(H50,名簿ﾏｽﾀｰ!$J$7:$Q$56,7,0))</f>
        <v/>
      </c>
      <c r="K50" s="77" t="str">
        <f>IF(I50="","",IF(J50=1,COUNTIF(入力ﾌｫｰﾑ!$U$3:$U$10,$H50)+COUNTIF(入力ﾌｫｰﾑ!$U$20:$U$27,$H50),IF(J50=2,"")))</f>
        <v/>
      </c>
      <c r="L50" s="77" t="str">
        <f t="shared" si="16"/>
        <v/>
      </c>
    </row>
    <row r="51" spans="8:12" ht="15.75" customHeight="1" x14ac:dyDescent="0.15">
      <c r="H51" s="111">
        <v>50</v>
      </c>
      <c r="I51" s="111" t="str">
        <f>IF(VLOOKUP(H51,名簿ﾏｽﾀｰ!$J$7:$K$56,2,0)="","",VLOOKUP(H51,名簿ﾏｽﾀｰ!$J$7:$K$56,2,0))</f>
        <v/>
      </c>
      <c r="J51" s="77" t="str">
        <f>IF(VLOOKUP(H51,名簿ﾏｽﾀｰ!$J$7:$Q$56,7,0)="","",VLOOKUP(H51,名簿ﾏｽﾀｰ!$J$7:$Q$56,7,0))</f>
        <v/>
      </c>
      <c r="K51" s="77" t="str">
        <f>IF(I51="","",IF(J51=1,COUNTIF(入力ﾌｫｰﾑ!$U$3:$U$10,$H51)+COUNTIF(入力ﾌｫｰﾑ!$U$20:$U$27,$H51),IF(J51=2,"")))</f>
        <v/>
      </c>
      <c r="L51" s="77" t="str">
        <f t="shared" si="16"/>
        <v/>
      </c>
    </row>
  </sheetData>
  <mergeCells count="15">
    <mergeCell ref="B14:B15"/>
    <mergeCell ref="E14:E15"/>
    <mergeCell ref="F14:F15"/>
    <mergeCell ref="B1:B2"/>
    <mergeCell ref="F3:F4"/>
    <mergeCell ref="B9:B10"/>
    <mergeCell ref="F9:F10"/>
    <mergeCell ref="E9:E10"/>
    <mergeCell ref="F6:F7"/>
    <mergeCell ref="B19:B20"/>
    <mergeCell ref="E19:E20"/>
    <mergeCell ref="F19:F20"/>
    <mergeCell ref="B24:B25"/>
    <mergeCell ref="E24:E25"/>
    <mergeCell ref="F24:F25"/>
  </mergeCells>
  <phoneticPr fontId="2"/>
  <conditionalFormatting sqref="V3:V10">
    <cfRule type="expression" dxfId="2" priority="2" stopIfTrue="1">
      <formula>G4&lt;&gt;""</formula>
    </cfRule>
  </conditionalFormatting>
  <conditionalFormatting sqref="V16:V17">
    <cfRule type="expression" dxfId="1" priority="1" stopIfTrue="1">
      <formula>G20&lt;&gt;""</formula>
    </cfRule>
  </conditionalFormatting>
  <conditionalFormatting sqref="B3:B7">
    <cfRule type="expression" dxfId="0" priority="3" stopIfTrue="1">
      <formula>#REF!&lt;&gt;""</formula>
    </cfRule>
  </conditionalFormatting>
  <dataValidations count="3">
    <dataValidation imeMode="on" allowBlank="1" showInputMessage="1" showErrorMessage="1" sqref="F3"/>
    <dataValidation type="list" allowBlank="1" showInputMessage="1" showErrorMessage="1" sqref="AF3:AF10 AF13:AF17 AF20:AF27 AF30:AF37">
      <formula1>"○,　"</formula1>
    </dataValidation>
    <dataValidation imeMode="halfAlpha" allowBlank="1" showInputMessage="1" showErrorMessage="1" sqref="E11:F11 C10:C12 E21:F21 D10 U13:U17 D15 E16:F16 D20 C15:C17 C20:C22 C25:C27 D25 U3:U10 E26:F26 F6:F7 C34:D36 U20:V27 U30:V37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57"/>
  <sheetViews>
    <sheetView zoomScale="120" zoomScaleNormal="120" zoomScaleSheetLayoutView="110" workbookViewId="0">
      <pane ySplit="6" topLeftCell="A7" activePane="bottomLeft" state="frozen"/>
      <selection activeCell="V10" sqref="V10"/>
      <selection pane="bottomLeft" activeCell="C7" sqref="C7"/>
    </sheetView>
  </sheetViews>
  <sheetFormatPr defaultRowHeight="13.5" outlineLevelCol="1" x14ac:dyDescent="0.15"/>
  <cols>
    <col min="1" max="1" width="2.125" style="3" customWidth="1"/>
    <col min="2" max="2" width="4.125" style="3" customWidth="1"/>
    <col min="3" max="6" width="13.125" style="3" customWidth="1"/>
    <col min="7" max="8" width="13.125" style="3" hidden="1" customWidth="1" outlineLevel="1"/>
    <col min="9" max="9" width="1.5" style="3" customWidth="1" collapsed="1"/>
    <col min="10" max="10" width="3.875" style="3" customWidth="1"/>
    <col min="11" max="12" width="13.125" style="3" customWidth="1"/>
    <col min="13" max="13" width="5.125" style="3" customWidth="1"/>
    <col min="14" max="16" width="12.5" style="3" customWidth="1"/>
    <col min="17" max="17" width="11.625" style="3" customWidth="1"/>
    <col min="18" max="18" width="3.75" style="3" customWidth="1"/>
    <col min="19" max="19" width="7.5" style="23" customWidth="1"/>
    <col min="20" max="20" width="9.625" style="23" customWidth="1"/>
    <col min="21" max="21" width="11.125" style="46" customWidth="1"/>
    <col min="22" max="22" width="4.625" style="3" customWidth="1"/>
    <col min="23" max="16384" width="9" style="3"/>
  </cols>
  <sheetData>
    <row r="1" spans="1:21" ht="97.15" customHeight="1" thickBot="1" x14ac:dyDescent="0.2">
      <c r="A1" s="222" t="s">
        <v>160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7"/>
      <c r="S1" s="7"/>
      <c r="T1" s="7"/>
    </row>
    <row r="2" spans="1:21" ht="24" customHeight="1" x14ac:dyDescent="0.15">
      <c r="A2" s="4"/>
      <c r="B2" s="223" t="s">
        <v>161</v>
      </c>
      <c r="C2" s="224"/>
      <c r="D2" s="224"/>
      <c r="E2" s="224"/>
      <c r="F2" s="225"/>
      <c r="G2" s="7"/>
      <c r="H2" s="7"/>
      <c r="I2" s="4"/>
      <c r="J2" s="47" t="str">
        <f>CONCATENATE(メインシート!$H$6,"　選手名簿マスター")</f>
        <v>　選手名簿マスター</v>
      </c>
      <c r="K2" s="7"/>
      <c r="L2" s="7"/>
      <c r="M2" s="7"/>
      <c r="N2" s="7"/>
      <c r="O2" s="7"/>
      <c r="P2" s="7"/>
      <c r="Q2" s="7"/>
      <c r="R2" s="5"/>
      <c r="S2" s="7"/>
      <c r="T2" s="7"/>
    </row>
    <row r="3" spans="1:21" ht="15" customHeight="1" x14ac:dyDescent="0.15">
      <c r="A3" s="4"/>
      <c r="B3" s="226"/>
      <c r="C3" s="227"/>
      <c r="D3" s="227"/>
      <c r="E3" s="227"/>
      <c r="F3" s="228"/>
      <c r="G3" s="7"/>
      <c r="H3" s="7"/>
      <c r="I3" s="4"/>
      <c r="J3" s="232" t="s">
        <v>77</v>
      </c>
      <c r="K3" s="233"/>
      <c r="L3" s="233"/>
      <c r="M3" s="234"/>
      <c r="N3" s="5" t="s">
        <v>67</v>
      </c>
      <c r="O3" s="5" t="s">
        <v>69</v>
      </c>
      <c r="P3" s="5" t="s">
        <v>162</v>
      </c>
      <c r="Q3" s="5"/>
      <c r="R3" s="48"/>
      <c r="S3" s="7"/>
      <c r="T3" s="7"/>
    </row>
    <row r="4" spans="1:21" ht="15" customHeight="1" thickBot="1" x14ac:dyDescent="0.2">
      <c r="A4" s="4"/>
      <c r="B4" s="229"/>
      <c r="C4" s="230"/>
      <c r="D4" s="230"/>
      <c r="E4" s="230"/>
      <c r="F4" s="231"/>
      <c r="G4" s="7"/>
      <c r="H4" s="7"/>
      <c r="I4" s="4"/>
      <c r="J4" s="49">
        <f>メインシート!$C$6</f>
        <v>0</v>
      </c>
      <c r="K4" s="190"/>
      <c r="L4" s="50"/>
      <c r="M4" s="50"/>
      <c r="N4" s="190"/>
      <c r="O4" s="190"/>
      <c r="P4" s="190"/>
      <c r="Q4" s="5"/>
      <c r="R4" s="5" t="s">
        <v>115</v>
      </c>
      <c r="S4" s="7"/>
      <c r="T4" s="7"/>
    </row>
    <row r="5" spans="1:21" ht="15" customHeight="1" x14ac:dyDescent="0.15">
      <c r="A5" s="4"/>
      <c r="B5" s="51" t="s">
        <v>163</v>
      </c>
      <c r="C5" s="51" t="s">
        <v>81</v>
      </c>
      <c r="D5" s="51" t="s">
        <v>82</v>
      </c>
      <c r="E5" s="51" t="s">
        <v>83</v>
      </c>
      <c r="F5" s="51" t="s">
        <v>84</v>
      </c>
      <c r="G5" s="6"/>
      <c r="H5" s="6"/>
      <c r="I5" s="4"/>
      <c r="J5" s="51" t="s">
        <v>164</v>
      </c>
      <c r="K5" s="51" t="s">
        <v>29</v>
      </c>
      <c r="L5" s="51" t="s">
        <v>165</v>
      </c>
      <c r="M5" s="5" t="s">
        <v>11</v>
      </c>
      <c r="N5" s="5" t="s">
        <v>36</v>
      </c>
      <c r="O5" s="5" t="s">
        <v>78</v>
      </c>
      <c r="P5" s="5" t="s">
        <v>76</v>
      </c>
      <c r="Q5" s="5" t="s">
        <v>114</v>
      </c>
      <c r="R5" s="5" t="s">
        <v>115</v>
      </c>
      <c r="S5" s="5" t="s">
        <v>116</v>
      </c>
      <c r="T5" s="5" t="s">
        <v>77</v>
      </c>
      <c r="U5" s="52">
        <f t="shared" ref="U5:U56" ca="1" si="0">TODAY()</f>
        <v>42570</v>
      </c>
    </row>
    <row r="6" spans="1:21" ht="15" customHeight="1" x14ac:dyDescent="0.15">
      <c r="A6" s="4"/>
      <c r="B6" s="8" t="s">
        <v>117</v>
      </c>
      <c r="C6" s="8" t="s">
        <v>23</v>
      </c>
      <c r="D6" s="8" t="s">
        <v>118</v>
      </c>
      <c r="E6" s="8" t="s">
        <v>166</v>
      </c>
      <c r="F6" s="8" t="s">
        <v>167</v>
      </c>
      <c r="G6" s="9" t="str">
        <f>IF($C6="","",CONCATENATE($C6,IF(LEN($C6)=2,"　",IF(LEN($C6)=1,"　　",""))))</f>
        <v>福島　</v>
      </c>
      <c r="H6" s="9" t="str">
        <f t="shared" ref="H6:H56" si="1">CONCATENATE(IF($C6="","",IF(LEN($D6)=2,"",IF(LEN($D6)=1,"　",""))),$D6)</f>
        <v>太郎</v>
      </c>
      <c r="I6" s="4"/>
      <c r="J6" s="10" t="s">
        <v>117</v>
      </c>
      <c r="K6" s="10" t="str">
        <f t="shared" ref="K6:K56" si="2">IF($C6="","",CONCATENATE(G6,H6))</f>
        <v>福島　太郎</v>
      </c>
      <c r="L6" s="10" t="str">
        <f t="shared" ref="L6:L56" si="3">IF($C6="","",CONCATENATE($E6,"　",$F6))</f>
        <v>ふくしま　たろう</v>
      </c>
      <c r="M6" s="8">
        <v>3</v>
      </c>
      <c r="N6" s="8" t="s">
        <v>119</v>
      </c>
      <c r="O6" s="8">
        <v>105.8</v>
      </c>
      <c r="P6" s="8" t="s">
        <v>120</v>
      </c>
      <c r="Q6" s="11">
        <v>23389</v>
      </c>
      <c r="R6" s="5">
        <f t="shared" ref="R6:R56" ca="1" si="4">IF(Q6="","",DATEDIF(Q6,U6,"Y"))</f>
        <v>52</v>
      </c>
      <c r="S6" s="53"/>
      <c r="T6" s="54"/>
      <c r="U6" s="52">
        <f t="shared" ca="1" si="0"/>
        <v>42570</v>
      </c>
    </row>
    <row r="7" spans="1:21" ht="15" customHeight="1" x14ac:dyDescent="0.15">
      <c r="A7" s="4"/>
      <c r="B7" s="5">
        <v>1</v>
      </c>
      <c r="C7" s="12"/>
      <c r="D7" s="12"/>
      <c r="E7" s="12"/>
      <c r="F7" s="12"/>
      <c r="G7" s="13" t="str">
        <f t="shared" ref="G7:G18" si="5">IF($C7="","",IF(LEN($D7)=3,CONCATENATE($C7,IF(LEN($C7)=2,"",IF(LEN($C7)=1,"　",""))),CONCATENATE($C7,IF(LEN($C7)=2,"　",IF(LEN($C7)=1,"　　","")))))</f>
        <v/>
      </c>
      <c r="H7" s="13" t="str">
        <f t="shared" si="1"/>
        <v/>
      </c>
      <c r="I7" s="4"/>
      <c r="J7" s="5">
        <f t="shared" ref="J7:J18" si="6">B7</f>
        <v>1</v>
      </c>
      <c r="K7" s="17" t="str">
        <f t="shared" si="2"/>
        <v/>
      </c>
      <c r="L7" s="14" t="str">
        <f t="shared" si="3"/>
        <v/>
      </c>
      <c r="M7" s="12"/>
      <c r="N7" s="12"/>
      <c r="O7" s="12"/>
      <c r="P7" s="16"/>
      <c r="Q7" s="15"/>
      <c r="R7" s="5" t="str">
        <f t="shared" si="4"/>
        <v/>
      </c>
      <c r="S7" s="53"/>
      <c r="T7" s="54"/>
      <c r="U7" s="52">
        <f t="shared" ca="1" si="0"/>
        <v>42570</v>
      </c>
    </row>
    <row r="8" spans="1:21" ht="15" customHeight="1" x14ac:dyDescent="0.15">
      <c r="A8" s="4"/>
      <c r="B8" s="5">
        <v>2</v>
      </c>
      <c r="C8" s="12"/>
      <c r="D8" s="12"/>
      <c r="E8" s="12"/>
      <c r="F8" s="12"/>
      <c r="G8" s="13" t="str">
        <f t="shared" si="5"/>
        <v/>
      </c>
      <c r="H8" s="13" t="str">
        <f t="shared" si="1"/>
        <v/>
      </c>
      <c r="I8" s="4"/>
      <c r="J8" s="5">
        <f t="shared" si="6"/>
        <v>2</v>
      </c>
      <c r="K8" s="14" t="str">
        <f t="shared" si="2"/>
        <v/>
      </c>
      <c r="L8" s="14" t="str">
        <f t="shared" si="3"/>
        <v/>
      </c>
      <c r="M8" s="12"/>
      <c r="N8" s="12"/>
      <c r="O8" s="12"/>
      <c r="P8" s="16"/>
      <c r="Q8" s="15"/>
      <c r="R8" s="5" t="str">
        <f t="shared" si="4"/>
        <v/>
      </c>
      <c r="S8" s="53"/>
      <c r="T8" s="54"/>
      <c r="U8" s="52">
        <f t="shared" ca="1" si="0"/>
        <v>42570</v>
      </c>
    </row>
    <row r="9" spans="1:21" ht="15" customHeight="1" x14ac:dyDescent="0.15">
      <c r="A9" s="4"/>
      <c r="B9" s="5">
        <v>3</v>
      </c>
      <c r="C9" s="12"/>
      <c r="D9" s="12"/>
      <c r="E9" s="12"/>
      <c r="F9" s="12"/>
      <c r="G9" s="13" t="str">
        <f t="shared" si="5"/>
        <v/>
      </c>
      <c r="H9" s="13" t="str">
        <f t="shared" si="1"/>
        <v/>
      </c>
      <c r="I9" s="4"/>
      <c r="J9" s="5">
        <f t="shared" si="6"/>
        <v>3</v>
      </c>
      <c r="K9" s="14" t="str">
        <f t="shared" si="2"/>
        <v/>
      </c>
      <c r="L9" s="14" t="str">
        <f t="shared" si="3"/>
        <v/>
      </c>
      <c r="M9" s="12"/>
      <c r="N9" s="12"/>
      <c r="O9" s="12"/>
      <c r="P9" s="12"/>
      <c r="Q9" s="15"/>
      <c r="R9" s="5" t="str">
        <f t="shared" si="4"/>
        <v/>
      </c>
      <c r="S9" s="53"/>
      <c r="T9" s="54"/>
      <c r="U9" s="52">
        <f t="shared" ca="1" si="0"/>
        <v>42570</v>
      </c>
    </row>
    <row r="10" spans="1:21" ht="15" customHeight="1" x14ac:dyDescent="0.15">
      <c r="A10" s="4"/>
      <c r="B10" s="5">
        <v>4</v>
      </c>
      <c r="C10" s="12"/>
      <c r="D10" s="12"/>
      <c r="E10" s="12"/>
      <c r="F10" s="12"/>
      <c r="G10" s="13" t="str">
        <f t="shared" si="5"/>
        <v/>
      </c>
      <c r="H10" s="13" t="str">
        <f t="shared" si="1"/>
        <v/>
      </c>
      <c r="I10" s="4"/>
      <c r="J10" s="5">
        <f t="shared" si="6"/>
        <v>4</v>
      </c>
      <c r="K10" s="14" t="str">
        <f t="shared" si="2"/>
        <v/>
      </c>
      <c r="L10" s="14" t="str">
        <f t="shared" si="3"/>
        <v/>
      </c>
      <c r="M10" s="12"/>
      <c r="N10" s="12"/>
      <c r="O10" s="12"/>
      <c r="P10" s="16"/>
      <c r="Q10" s="15"/>
      <c r="R10" s="5" t="str">
        <f t="shared" si="4"/>
        <v/>
      </c>
      <c r="S10" s="53"/>
      <c r="T10" s="54"/>
      <c r="U10" s="52">
        <f t="shared" ca="1" si="0"/>
        <v>42570</v>
      </c>
    </row>
    <row r="11" spans="1:21" ht="15" customHeight="1" x14ac:dyDescent="0.15">
      <c r="A11" s="4"/>
      <c r="B11" s="5">
        <v>5</v>
      </c>
      <c r="C11" s="12"/>
      <c r="D11" s="12"/>
      <c r="E11" s="12"/>
      <c r="F11" s="12"/>
      <c r="G11" s="13" t="str">
        <f t="shared" si="5"/>
        <v/>
      </c>
      <c r="H11" s="13" t="str">
        <f t="shared" si="1"/>
        <v/>
      </c>
      <c r="I11" s="4"/>
      <c r="J11" s="5">
        <f t="shared" si="6"/>
        <v>5</v>
      </c>
      <c r="K11" s="18" t="str">
        <f t="shared" si="2"/>
        <v/>
      </c>
      <c r="L11" s="14" t="str">
        <f t="shared" si="3"/>
        <v/>
      </c>
      <c r="M11" s="16"/>
      <c r="N11" s="12"/>
      <c r="O11" s="16"/>
      <c r="P11" s="12"/>
      <c r="Q11" s="15"/>
      <c r="R11" s="5" t="str">
        <f t="shared" si="4"/>
        <v/>
      </c>
      <c r="S11" s="53"/>
      <c r="T11" s="54"/>
      <c r="U11" s="52">
        <f t="shared" ca="1" si="0"/>
        <v>42570</v>
      </c>
    </row>
    <row r="12" spans="1:21" ht="15" customHeight="1" x14ac:dyDescent="0.15">
      <c r="A12" s="4"/>
      <c r="B12" s="5">
        <v>6</v>
      </c>
      <c r="C12" s="12"/>
      <c r="D12" s="12"/>
      <c r="E12" s="12"/>
      <c r="F12" s="12"/>
      <c r="G12" s="13" t="str">
        <f t="shared" si="5"/>
        <v/>
      </c>
      <c r="H12" s="13" t="str">
        <f t="shared" si="1"/>
        <v/>
      </c>
      <c r="I12" s="4"/>
      <c r="J12" s="5">
        <f t="shared" si="6"/>
        <v>6</v>
      </c>
      <c r="K12" s="14" t="str">
        <f t="shared" si="2"/>
        <v/>
      </c>
      <c r="L12" s="14" t="str">
        <f t="shared" si="3"/>
        <v/>
      </c>
      <c r="M12" s="12"/>
      <c r="N12" s="12"/>
      <c r="O12" s="12"/>
      <c r="P12" s="12"/>
      <c r="Q12" s="15"/>
      <c r="R12" s="5" t="str">
        <f t="shared" si="4"/>
        <v/>
      </c>
      <c r="S12" s="53"/>
      <c r="T12" s="54"/>
      <c r="U12" s="52">
        <f t="shared" ca="1" si="0"/>
        <v>42570</v>
      </c>
    </row>
    <row r="13" spans="1:21" ht="15" customHeight="1" x14ac:dyDescent="0.15">
      <c r="A13" s="4"/>
      <c r="B13" s="5">
        <v>7</v>
      </c>
      <c r="C13" s="12"/>
      <c r="D13" s="12"/>
      <c r="E13" s="12"/>
      <c r="F13" s="12"/>
      <c r="G13" s="13" t="str">
        <f t="shared" si="5"/>
        <v/>
      </c>
      <c r="H13" s="13" t="str">
        <f t="shared" si="1"/>
        <v/>
      </c>
      <c r="I13" s="4"/>
      <c r="J13" s="5">
        <f t="shared" si="6"/>
        <v>7</v>
      </c>
      <c r="K13" s="14" t="str">
        <f t="shared" si="2"/>
        <v/>
      </c>
      <c r="L13" s="14" t="str">
        <f t="shared" si="3"/>
        <v/>
      </c>
      <c r="M13" s="16"/>
      <c r="N13" s="12"/>
      <c r="O13" s="16"/>
      <c r="P13" s="12"/>
      <c r="Q13" s="15"/>
      <c r="R13" s="5" t="str">
        <f t="shared" si="4"/>
        <v/>
      </c>
      <c r="S13" s="53"/>
      <c r="T13" s="54"/>
      <c r="U13" s="52">
        <f t="shared" ca="1" si="0"/>
        <v>42570</v>
      </c>
    </row>
    <row r="14" spans="1:21" ht="15" customHeight="1" x14ac:dyDescent="0.15">
      <c r="A14" s="4"/>
      <c r="B14" s="5">
        <v>8</v>
      </c>
      <c r="C14" s="12"/>
      <c r="D14" s="12"/>
      <c r="E14" s="12"/>
      <c r="F14" s="12"/>
      <c r="G14" s="13" t="str">
        <f t="shared" si="5"/>
        <v/>
      </c>
      <c r="H14" s="13" t="str">
        <f t="shared" si="1"/>
        <v/>
      </c>
      <c r="I14" s="4"/>
      <c r="J14" s="5">
        <f t="shared" si="6"/>
        <v>8</v>
      </c>
      <c r="K14" s="14" t="str">
        <f t="shared" si="2"/>
        <v/>
      </c>
      <c r="L14" s="14" t="str">
        <f t="shared" si="3"/>
        <v/>
      </c>
      <c r="M14" s="19"/>
      <c r="N14" s="12"/>
      <c r="O14" s="19"/>
      <c r="P14" s="12"/>
      <c r="Q14" s="15"/>
      <c r="R14" s="5" t="str">
        <f t="shared" si="4"/>
        <v/>
      </c>
      <c r="S14" s="53"/>
      <c r="T14" s="54"/>
      <c r="U14" s="52">
        <f t="shared" ca="1" si="0"/>
        <v>42570</v>
      </c>
    </row>
    <row r="15" spans="1:21" ht="15" customHeight="1" x14ac:dyDescent="0.15">
      <c r="A15" s="4"/>
      <c r="B15" s="5">
        <v>9</v>
      </c>
      <c r="C15" s="12"/>
      <c r="D15" s="12"/>
      <c r="E15" s="12"/>
      <c r="F15" s="12"/>
      <c r="G15" s="13" t="str">
        <f t="shared" si="5"/>
        <v/>
      </c>
      <c r="H15" s="13" t="str">
        <f t="shared" si="1"/>
        <v/>
      </c>
      <c r="I15" s="4"/>
      <c r="J15" s="5">
        <f t="shared" si="6"/>
        <v>9</v>
      </c>
      <c r="K15" s="14" t="str">
        <f t="shared" si="2"/>
        <v/>
      </c>
      <c r="L15" s="14" t="str">
        <f t="shared" si="3"/>
        <v/>
      </c>
      <c r="M15" s="12"/>
      <c r="N15" s="12"/>
      <c r="O15" s="12"/>
      <c r="P15" s="16"/>
      <c r="Q15" s="15"/>
      <c r="R15" s="5" t="str">
        <f t="shared" si="4"/>
        <v/>
      </c>
      <c r="S15" s="53"/>
      <c r="T15" s="54"/>
      <c r="U15" s="52">
        <f t="shared" ca="1" si="0"/>
        <v>42570</v>
      </c>
    </row>
    <row r="16" spans="1:21" ht="15" customHeight="1" x14ac:dyDescent="0.15">
      <c r="A16" s="4"/>
      <c r="B16" s="5">
        <v>10</v>
      </c>
      <c r="C16" s="12"/>
      <c r="D16" s="12"/>
      <c r="E16" s="12"/>
      <c r="F16" s="12"/>
      <c r="G16" s="13" t="str">
        <f t="shared" si="5"/>
        <v/>
      </c>
      <c r="H16" s="13" t="str">
        <f t="shared" si="1"/>
        <v/>
      </c>
      <c r="I16" s="4"/>
      <c r="J16" s="5">
        <f t="shared" si="6"/>
        <v>10</v>
      </c>
      <c r="K16" s="14" t="str">
        <f t="shared" si="2"/>
        <v/>
      </c>
      <c r="L16" s="14" t="str">
        <f t="shared" si="3"/>
        <v/>
      </c>
      <c r="M16" s="19"/>
      <c r="N16" s="12"/>
      <c r="O16" s="19"/>
      <c r="P16" s="12"/>
      <c r="Q16" s="15"/>
      <c r="R16" s="5" t="str">
        <f t="shared" si="4"/>
        <v/>
      </c>
      <c r="S16" s="53"/>
      <c r="T16" s="54"/>
      <c r="U16" s="52">
        <f t="shared" ca="1" si="0"/>
        <v>42570</v>
      </c>
    </row>
    <row r="17" spans="1:21" ht="15" customHeight="1" x14ac:dyDescent="0.15">
      <c r="A17" s="4"/>
      <c r="B17" s="5">
        <v>11</v>
      </c>
      <c r="C17" s="12"/>
      <c r="D17" s="12"/>
      <c r="E17" s="12"/>
      <c r="F17" s="12"/>
      <c r="G17" s="13" t="str">
        <f t="shared" si="5"/>
        <v/>
      </c>
      <c r="H17" s="13" t="str">
        <f t="shared" si="1"/>
        <v/>
      </c>
      <c r="I17" s="4"/>
      <c r="J17" s="5">
        <f t="shared" si="6"/>
        <v>11</v>
      </c>
      <c r="K17" s="14" t="str">
        <f t="shared" si="2"/>
        <v/>
      </c>
      <c r="L17" s="14" t="str">
        <f t="shared" si="3"/>
        <v/>
      </c>
      <c r="M17" s="12"/>
      <c r="N17" s="12"/>
      <c r="O17" s="12"/>
      <c r="P17" s="16"/>
      <c r="Q17" s="15"/>
      <c r="R17" s="5" t="str">
        <f t="shared" si="4"/>
        <v/>
      </c>
      <c r="S17" s="53"/>
      <c r="T17" s="54"/>
      <c r="U17" s="52">
        <f t="shared" ca="1" si="0"/>
        <v>42570</v>
      </c>
    </row>
    <row r="18" spans="1:21" ht="15" customHeight="1" x14ac:dyDescent="0.15">
      <c r="A18" s="4"/>
      <c r="B18" s="5">
        <v>12</v>
      </c>
      <c r="C18" s="12"/>
      <c r="D18" s="12"/>
      <c r="E18" s="12"/>
      <c r="F18" s="12"/>
      <c r="G18" s="13" t="str">
        <f t="shared" si="5"/>
        <v/>
      </c>
      <c r="H18" s="13" t="str">
        <f t="shared" si="1"/>
        <v/>
      </c>
      <c r="I18" s="4"/>
      <c r="J18" s="5">
        <f t="shared" si="6"/>
        <v>12</v>
      </c>
      <c r="K18" s="18" t="str">
        <f t="shared" si="2"/>
        <v/>
      </c>
      <c r="L18" s="14" t="str">
        <f t="shared" si="3"/>
        <v/>
      </c>
      <c r="M18" s="19"/>
      <c r="N18" s="19"/>
      <c r="O18" s="19"/>
      <c r="P18" s="12"/>
      <c r="Q18" s="15"/>
      <c r="R18" s="5" t="str">
        <f t="shared" si="4"/>
        <v/>
      </c>
      <c r="S18" s="53"/>
      <c r="T18" s="54"/>
      <c r="U18" s="52">
        <f t="shared" ca="1" si="0"/>
        <v>42570</v>
      </c>
    </row>
    <row r="19" spans="1:21" ht="15" customHeight="1" x14ac:dyDescent="0.15">
      <c r="A19" s="4"/>
      <c r="B19" s="5">
        <v>13</v>
      </c>
      <c r="C19" s="12"/>
      <c r="D19" s="12"/>
      <c r="E19" s="12"/>
      <c r="F19" s="12"/>
      <c r="G19" s="13" t="str">
        <f>IF($C19="","",IF(LEN($D19)=3,CONCATENATE($C19,IF(LEN($C19)=2,"",IF(LEN($C19)=1,"　",""))),CONCATENATE($C19,IF(LEN($C19)=2,"　",IF(LEN($C19)=1,"　　","")))))</f>
        <v/>
      </c>
      <c r="H19" s="13" t="str">
        <f>CONCATENATE(IF($C19="","",IF(LEN($D19)=2,"",IF(LEN($D19)=1,"　",""))),$D19)</f>
        <v/>
      </c>
      <c r="I19" s="4"/>
      <c r="J19" s="5">
        <f>B19</f>
        <v>13</v>
      </c>
      <c r="K19" s="14" t="str">
        <f>IF($C19="","",CONCATENATE(G19,H19))</f>
        <v/>
      </c>
      <c r="L19" s="14" t="str">
        <f>IF($C19="","",CONCATENATE($E19,"　",$F19))</f>
        <v/>
      </c>
      <c r="M19" s="16"/>
      <c r="N19" s="19"/>
      <c r="O19" s="16"/>
      <c r="P19" s="12"/>
      <c r="Q19" s="15"/>
      <c r="R19" s="5" t="str">
        <f t="shared" si="4"/>
        <v/>
      </c>
      <c r="S19" s="53"/>
      <c r="T19" s="54"/>
      <c r="U19" s="52">
        <f t="shared" ca="1" si="0"/>
        <v>42570</v>
      </c>
    </row>
    <row r="20" spans="1:21" ht="15" customHeight="1" x14ac:dyDescent="0.15">
      <c r="A20" s="4"/>
      <c r="B20" s="5">
        <v>14</v>
      </c>
      <c r="C20" s="19"/>
      <c r="D20" s="12"/>
      <c r="E20" s="19"/>
      <c r="F20" s="12"/>
      <c r="G20" s="13" t="str">
        <f>IF($C20="","",IF(LEN($D20)=3,CONCATENATE($C20,IF(LEN($C20)=2,"",IF(LEN($C20)=1,"　",""))),CONCATENATE($C20,IF(LEN($C20)=2,"　",IF(LEN($C20)=1,"　　","")))))</f>
        <v/>
      </c>
      <c r="H20" s="13" t="str">
        <f>CONCATENATE(IF($C20="","",IF(LEN($D20)=2,"",IF(LEN($D20)=1,"　",""))),$D20)</f>
        <v/>
      </c>
      <c r="I20" s="4"/>
      <c r="J20" s="5">
        <f>B20</f>
        <v>14</v>
      </c>
      <c r="K20" s="20" t="str">
        <f>IF($C20="","",CONCATENATE(G20,H20))</f>
        <v/>
      </c>
      <c r="L20" s="14" t="str">
        <f>IF($C20="","",CONCATENATE($E20,"　",$F20))</f>
        <v/>
      </c>
      <c r="M20" s="19"/>
      <c r="N20" s="19"/>
      <c r="O20" s="19"/>
      <c r="P20" s="12"/>
      <c r="Q20" s="15"/>
      <c r="R20" s="5" t="str">
        <f t="shared" si="4"/>
        <v/>
      </c>
      <c r="S20" s="53"/>
      <c r="T20" s="54"/>
      <c r="U20" s="52">
        <f t="shared" ca="1" si="0"/>
        <v>42570</v>
      </c>
    </row>
    <row r="21" spans="1:21" ht="15" customHeight="1" x14ac:dyDescent="0.15">
      <c r="A21" s="4"/>
      <c r="B21" s="5">
        <v>15</v>
      </c>
      <c r="C21" s="12"/>
      <c r="D21" s="12"/>
      <c r="E21" s="12"/>
      <c r="F21" s="12"/>
      <c r="G21" s="13" t="str">
        <f t="shared" ref="G21:G56" si="7">IF($C21="","",IF(LEN($D21)=3,CONCATENATE($C21,IF(LEN($C21)=2,"",IF(LEN($C21)=1,"　",""))),CONCATENATE($C21,IF(LEN($C21)=2,"　",IF(LEN($C21)=1,"　　","")))))</f>
        <v/>
      </c>
      <c r="H21" s="13" t="str">
        <f t="shared" si="1"/>
        <v/>
      </c>
      <c r="I21" s="4"/>
      <c r="J21" s="5">
        <f t="shared" ref="J21:J56" si="8">B21</f>
        <v>15</v>
      </c>
      <c r="K21" s="14" t="str">
        <f t="shared" si="2"/>
        <v/>
      </c>
      <c r="L21" s="14" t="str">
        <f t="shared" si="3"/>
        <v/>
      </c>
      <c r="M21" s="16"/>
      <c r="N21" s="16"/>
      <c r="O21" s="16"/>
      <c r="P21" s="12"/>
      <c r="Q21" s="15"/>
      <c r="R21" s="5" t="str">
        <f t="shared" si="4"/>
        <v/>
      </c>
      <c r="S21" s="53"/>
      <c r="T21" s="54"/>
      <c r="U21" s="52">
        <f t="shared" ca="1" si="0"/>
        <v>42570</v>
      </c>
    </row>
    <row r="22" spans="1:21" ht="15" customHeight="1" x14ac:dyDescent="0.15">
      <c r="A22" s="4"/>
      <c r="B22" s="5">
        <v>16</v>
      </c>
      <c r="C22" s="12"/>
      <c r="D22" s="12"/>
      <c r="E22" s="12"/>
      <c r="F22" s="12"/>
      <c r="G22" s="13" t="str">
        <f t="shared" si="7"/>
        <v/>
      </c>
      <c r="H22" s="13" t="str">
        <f t="shared" si="1"/>
        <v/>
      </c>
      <c r="I22" s="4"/>
      <c r="J22" s="5">
        <f t="shared" si="8"/>
        <v>16</v>
      </c>
      <c r="K22" s="14" t="str">
        <f t="shared" si="2"/>
        <v/>
      </c>
      <c r="L22" s="14" t="str">
        <f t="shared" si="3"/>
        <v/>
      </c>
      <c r="M22" s="12"/>
      <c r="N22" s="16"/>
      <c r="O22" s="12"/>
      <c r="P22" s="12"/>
      <c r="Q22" s="15"/>
      <c r="R22" s="5" t="str">
        <f t="shared" si="4"/>
        <v/>
      </c>
      <c r="S22" s="53"/>
      <c r="T22" s="54"/>
      <c r="U22" s="52">
        <f t="shared" ca="1" si="0"/>
        <v>42570</v>
      </c>
    </row>
    <row r="23" spans="1:21" ht="15" customHeight="1" x14ac:dyDescent="0.15">
      <c r="A23" s="4"/>
      <c r="B23" s="5">
        <v>17</v>
      </c>
      <c r="C23" s="12"/>
      <c r="D23" s="12"/>
      <c r="E23" s="12"/>
      <c r="F23" s="12"/>
      <c r="G23" s="13" t="str">
        <f t="shared" si="7"/>
        <v/>
      </c>
      <c r="H23" s="13" t="str">
        <f t="shared" si="1"/>
        <v/>
      </c>
      <c r="I23" s="4"/>
      <c r="J23" s="5">
        <f t="shared" si="8"/>
        <v>17</v>
      </c>
      <c r="K23" s="14" t="str">
        <f t="shared" si="2"/>
        <v/>
      </c>
      <c r="L23" s="14" t="str">
        <f t="shared" si="3"/>
        <v/>
      </c>
      <c r="M23" s="12"/>
      <c r="N23" s="16"/>
      <c r="O23" s="12"/>
      <c r="P23" s="16"/>
      <c r="Q23" s="15"/>
      <c r="R23" s="5" t="str">
        <f t="shared" si="4"/>
        <v/>
      </c>
      <c r="S23" s="53"/>
      <c r="T23" s="54"/>
      <c r="U23" s="52">
        <f t="shared" ca="1" si="0"/>
        <v>42570</v>
      </c>
    </row>
    <row r="24" spans="1:21" ht="15" customHeight="1" x14ac:dyDescent="0.15">
      <c r="A24" s="4"/>
      <c r="B24" s="5">
        <v>18</v>
      </c>
      <c r="C24" s="12"/>
      <c r="D24" s="12"/>
      <c r="E24" s="12"/>
      <c r="F24" s="12"/>
      <c r="G24" s="13" t="str">
        <f t="shared" si="7"/>
        <v/>
      </c>
      <c r="H24" s="13" t="str">
        <f t="shared" si="1"/>
        <v/>
      </c>
      <c r="I24" s="4"/>
      <c r="J24" s="5">
        <f t="shared" si="8"/>
        <v>18</v>
      </c>
      <c r="K24" s="14" t="str">
        <f t="shared" si="2"/>
        <v/>
      </c>
      <c r="L24" s="14" t="str">
        <f t="shared" si="3"/>
        <v/>
      </c>
      <c r="M24" s="12"/>
      <c r="N24" s="12"/>
      <c r="O24" s="12"/>
      <c r="P24" s="16"/>
      <c r="Q24" s="15"/>
      <c r="R24" s="5" t="str">
        <f t="shared" si="4"/>
        <v/>
      </c>
      <c r="S24" s="53"/>
      <c r="T24" s="54"/>
      <c r="U24" s="52">
        <f t="shared" ca="1" si="0"/>
        <v>42570</v>
      </c>
    </row>
    <row r="25" spans="1:21" ht="15" customHeight="1" x14ac:dyDescent="0.15">
      <c r="A25" s="4"/>
      <c r="B25" s="5">
        <v>19</v>
      </c>
      <c r="C25" s="12"/>
      <c r="D25" s="12"/>
      <c r="E25" s="12"/>
      <c r="F25" s="12"/>
      <c r="G25" s="13" t="str">
        <f t="shared" si="7"/>
        <v/>
      </c>
      <c r="H25" s="13" t="str">
        <f t="shared" si="1"/>
        <v/>
      </c>
      <c r="I25" s="4"/>
      <c r="J25" s="5">
        <f t="shared" si="8"/>
        <v>19</v>
      </c>
      <c r="K25" s="18" t="str">
        <f t="shared" si="2"/>
        <v/>
      </c>
      <c r="L25" s="14" t="str">
        <f t="shared" si="3"/>
        <v/>
      </c>
      <c r="M25" s="12"/>
      <c r="N25" s="12"/>
      <c r="O25" s="12"/>
      <c r="P25" s="12"/>
      <c r="Q25" s="15"/>
      <c r="R25" s="5" t="str">
        <f t="shared" si="4"/>
        <v/>
      </c>
      <c r="S25" s="53"/>
      <c r="T25" s="54"/>
      <c r="U25" s="52">
        <f t="shared" ca="1" si="0"/>
        <v>42570</v>
      </c>
    </row>
    <row r="26" spans="1:21" ht="15" customHeight="1" x14ac:dyDescent="0.15">
      <c r="A26" s="4"/>
      <c r="B26" s="5">
        <v>20</v>
      </c>
      <c r="C26" s="12"/>
      <c r="D26" s="12"/>
      <c r="E26" s="12"/>
      <c r="F26" s="12"/>
      <c r="G26" s="13" t="str">
        <f t="shared" si="7"/>
        <v/>
      </c>
      <c r="H26" s="13" t="str">
        <f t="shared" si="1"/>
        <v/>
      </c>
      <c r="I26" s="4"/>
      <c r="J26" s="5">
        <f t="shared" si="8"/>
        <v>20</v>
      </c>
      <c r="K26" s="14" t="str">
        <f t="shared" si="2"/>
        <v/>
      </c>
      <c r="L26" s="14" t="str">
        <f t="shared" si="3"/>
        <v/>
      </c>
      <c r="M26" s="12"/>
      <c r="N26" s="12"/>
      <c r="O26" s="12"/>
      <c r="P26" s="16"/>
      <c r="Q26" s="15"/>
      <c r="R26" s="5" t="str">
        <f t="shared" si="4"/>
        <v/>
      </c>
      <c r="S26" s="53"/>
      <c r="T26" s="54"/>
      <c r="U26" s="52">
        <f t="shared" ca="1" si="0"/>
        <v>42570</v>
      </c>
    </row>
    <row r="27" spans="1:21" ht="15" customHeight="1" x14ac:dyDescent="0.15">
      <c r="A27" s="4"/>
      <c r="B27" s="5">
        <v>21</v>
      </c>
      <c r="C27" s="12"/>
      <c r="D27" s="12"/>
      <c r="E27" s="12"/>
      <c r="F27" s="12"/>
      <c r="G27" s="13" t="str">
        <f t="shared" si="7"/>
        <v/>
      </c>
      <c r="H27" s="13" t="str">
        <f t="shared" si="1"/>
        <v/>
      </c>
      <c r="I27" s="4"/>
      <c r="J27" s="5">
        <f t="shared" si="8"/>
        <v>21</v>
      </c>
      <c r="K27" s="14" t="str">
        <f t="shared" si="2"/>
        <v/>
      </c>
      <c r="L27" s="14" t="str">
        <f t="shared" si="3"/>
        <v/>
      </c>
      <c r="M27" s="12"/>
      <c r="N27" s="12"/>
      <c r="O27" s="12"/>
      <c r="P27" s="12"/>
      <c r="Q27" s="15"/>
      <c r="R27" s="5" t="str">
        <f t="shared" si="4"/>
        <v/>
      </c>
      <c r="S27" s="53"/>
      <c r="T27" s="54"/>
      <c r="U27" s="52">
        <f t="shared" ca="1" si="0"/>
        <v>42570</v>
      </c>
    </row>
    <row r="28" spans="1:21" ht="15" customHeight="1" x14ac:dyDescent="0.15">
      <c r="A28" s="4"/>
      <c r="B28" s="5">
        <v>22</v>
      </c>
      <c r="C28" s="12"/>
      <c r="D28" s="12"/>
      <c r="E28" s="12"/>
      <c r="F28" s="12"/>
      <c r="G28" s="13" t="str">
        <f t="shared" si="7"/>
        <v/>
      </c>
      <c r="H28" s="13" t="str">
        <f t="shared" si="1"/>
        <v/>
      </c>
      <c r="I28" s="4"/>
      <c r="J28" s="5">
        <f t="shared" si="8"/>
        <v>22</v>
      </c>
      <c r="K28" s="17" t="str">
        <f t="shared" si="2"/>
        <v/>
      </c>
      <c r="L28" s="14" t="str">
        <f t="shared" si="3"/>
        <v/>
      </c>
      <c r="M28" s="12"/>
      <c r="N28" s="12"/>
      <c r="O28" s="12"/>
      <c r="P28" s="16"/>
      <c r="Q28" s="15"/>
      <c r="R28" s="5" t="str">
        <f t="shared" si="4"/>
        <v/>
      </c>
      <c r="S28" s="53"/>
      <c r="T28" s="54"/>
      <c r="U28" s="52">
        <f t="shared" ca="1" si="0"/>
        <v>42570</v>
      </c>
    </row>
    <row r="29" spans="1:21" ht="15" customHeight="1" x14ac:dyDescent="0.15">
      <c r="A29" s="4"/>
      <c r="B29" s="5">
        <v>23</v>
      </c>
      <c r="C29" s="12"/>
      <c r="D29" s="12"/>
      <c r="E29" s="12"/>
      <c r="F29" s="12"/>
      <c r="G29" s="13" t="str">
        <f t="shared" si="7"/>
        <v/>
      </c>
      <c r="H29" s="13" t="str">
        <f t="shared" si="1"/>
        <v/>
      </c>
      <c r="I29" s="4"/>
      <c r="J29" s="5">
        <f t="shared" si="8"/>
        <v>23</v>
      </c>
      <c r="K29" s="14" t="str">
        <f t="shared" si="2"/>
        <v/>
      </c>
      <c r="L29" s="14" t="str">
        <f t="shared" si="3"/>
        <v/>
      </c>
      <c r="M29" s="12"/>
      <c r="N29" s="12"/>
      <c r="O29" s="12"/>
      <c r="P29" s="12"/>
      <c r="Q29" s="15"/>
      <c r="R29" s="5" t="str">
        <f t="shared" si="4"/>
        <v/>
      </c>
      <c r="S29" s="53"/>
      <c r="T29" s="54"/>
      <c r="U29" s="52">
        <f t="shared" ca="1" si="0"/>
        <v>42570</v>
      </c>
    </row>
    <row r="30" spans="1:21" ht="15" customHeight="1" x14ac:dyDescent="0.15">
      <c r="A30" s="4"/>
      <c r="B30" s="5">
        <v>24</v>
      </c>
      <c r="C30" s="12"/>
      <c r="D30" s="12"/>
      <c r="E30" s="12"/>
      <c r="F30" s="12"/>
      <c r="G30" s="13" t="str">
        <f t="shared" si="7"/>
        <v/>
      </c>
      <c r="H30" s="13" t="str">
        <f t="shared" si="1"/>
        <v/>
      </c>
      <c r="I30" s="4"/>
      <c r="J30" s="5">
        <f t="shared" si="8"/>
        <v>24</v>
      </c>
      <c r="K30" s="14" t="str">
        <f t="shared" si="2"/>
        <v/>
      </c>
      <c r="L30" s="14" t="str">
        <f t="shared" si="3"/>
        <v/>
      </c>
      <c r="M30" s="16"/>
      <c r="N30" s="12"/>
      <c r="O30" s="16"/>
      <c r="P30" s="12"/>
      <c r="Q30" s="15"/>
      <c r="R30" s="5" t="str">
        <f t="shared" si="4"/>
        <v/>
      </c>
      <c r="S30" s="53"/>
      <c r="T30" s="54"/>
      <c r="U30" s="52">
        <f t="shared" ca="1" si="0"/>
        <v>42570</v>
      </c>
    </row>
    <row r="31" spans="1:21" ht="15" customHeight="1" x14ac:dyDescent="0.15">
      <c r="A31" s="4"/>
      <c r="B31" s="5">
        <v>25</v>
      </c>
      <c r="C31" s="19"/>
      <c r="D31" s="12"/>
      <c r="E31" s="19"/>
      <c r="F31" s="12"/>
      <c r="G31" s="13" t="str">
        <f t="shared" si="7"/>
        <v/>
      </c>
      <c r="H31" s="13" t="str">
        <f t="shared" si="1"/>
        <v/>
      </c>
      <c r="I31" s="4"/>
      <c r="J31" s="5">
        <f t="shared" si="8"/>
        <v>25</v>
      </c>
      <c r="K31" s="20" t="str">
        <f t="shared" si="2"/>
        <v/>
      </c>
      <c r="L31" s="14" t="str">
        <f t="shared" si="3"/>
        <v/>
      </c>
      <c r="M31" s="19"/>
      <c r="N31" s="12"/>
      <c r="O31" s="19"/>
      <c r="P31" s="12"/>
      <c r="Q31" s="15"/>
      <c r="R31" s="5" t="str">
        <f t="shared" si="4"/>
        <v/>
      </c>
      <c r="S31" s="53"/>
      <c r="T31" s="54"/>
      <c r="U31" s="52">
        <f t="shared" ca="1" si="0"/>
        <v>42570</v>
      </c>
    </row>
    <row r="32" spans="1:21" ht="15" customHeight="1" x14ac:dyDescent="0.15">
      <c r="A32" s="4"/>
      <c r="B32" s="5">
        <v>26</v>
      </c>
      <c r="C32" s="12"/>
      <c r="D32" s="12"/>
      <c r="E32" s="12"/>
      <c r="F32" s="12"/>
      <c r="G32" s="13" t="str">
        <f t="shared" si="7"/>
        <v/>
      </c>
      <c r="H32" s="13" t="str">
        <f t="shared" si="1"/>
        <v/>
      </c>
      <c r="I32" s="4"/>
      <c r="J32" s="5">
        <f t="shared" si="8"/>
        <v>26</v>
      </c>
      <c r="K32" s="18" t="str">
        <f t="shared" si="2"/>
        <v/>
      </c>
      <c r="L32" s="14" t="str">
        <f t="shared" si="3"/>
        <v/>
      </c>
      <c r="M32" s="19"/>
      <c r="N32" s="12"/>
      <c r="O32" s="19"/>
      <c r="P32" s="12"/>
      <c r="Q32" s="15"/>
      <c r="R32" s="5" t="str">
        <f t="shared" si="4"/>
        <v/>
      </c>
      <c r="S32" s="53"/>
      <c r="T32" s="54"/>
      <c r="U32" s="52">
        <f t="shared" ca="1" si="0"/>
        <v>42570</v>
      </c>
    </row>
    <row r="33" spans="1:21" ht="15" customHeight="1" x14ac:dyDescent="0.15">
      <c r="A33" s="4"/>
      <c r="B33" s="5">
        <v>27</v>
      </c>
      <c r="C33" s="12"/>
      <c r="D33" s="12"/>
      <c r="E33" s="12"/>
      <c r="F33" s="12"/>
      <c r="G33" s="13" t="str">
        <f t="shared" si="7"/>
        <v/>
      </c>
      <c r="H33" s="13" t="str">
        <f t="shared" si="1"/>
        <v/>
      </c>
      <c r="I33" s="4"/>
      <c r="J33" s="5">
        <f t="shared" si="8"/>
        <v>27</v>
      </c>
      <c r="K33" s="14" t="str">
        <f t="shared" si="2"/>
        <v/>
      </c>
      <c r="L33" s="14" t="str">
        <f t="shared" si="3"/>
        <v/>
      </c>
      <c r="M33" s="12"/>
      <c r="N33" s="12"/>
      <c r="O33" s="12"/>
      <c r="P33" s="16"/>
      <c r="Q33" s="15"/>
      <c r="R33" s="5" t="str">
        <f t="shared" si="4"/>
        <v/>
      </c>
      <c r="S33" s="53"/>
      <c r="T33" s="54"/>
      <c r="U33" s="52">
        <f t="shared" ca="1" si="0"/>
        <v>42570</v>
      </c>
    </row>
    <row r="34" spans="1:21" ht="15" customHeight="1" x14ac:dyDescent="0.15">
      <c r="A34" s="4"/>
      <c r="B34" s="5">
        <v>28</v>
      </c>
      <c r="C34" s="12"/>
      <c r="D34" s="12"/>
      <c r="E34" s="12"/>
      <c r="F34" s="12"/>
      <c r="G34" s="13" t="str">
        <f t="shared" si="7"/>
        <v/>
      </c>
      <c r="H34" s="13" t="str">
        <f t="shared" si="1"/>
        <v/>
      </c>
      <c r="I34" s="4"/>
      <c r="J34" s="5">
        <f t="shared" si="8"/>
        <v>28</v>
      </c>
      <c r="K34" s="14" t="str">
        <f t="shared" si="2"/>
        <v/>
      </c>
      <c r="L34" s="14" t="str">
        <f t="shared" si="3"/>
        <v/>
      </c>
      <c r="M34" s="19"/>
      <c r="N34" s="12"/>
      <c r="O34" s="19"/>
      <c r="P34" s="12"/>
      <c r="Q34" s="15"/>
      <c r="R34" s="5" t="str">
        <f t="shared" si="4"/>
        <v/>
      </c>
      <c r="S34" s="53"/>
      <c r="T34" s="54"/>
      <c r="U34" s="52">
        <f t="shared" ca="1" si="0"/>
        <v>42570</v>
      </c>
    </row>
    <row r="35" spans="1:21" ht="15" customHeight="1" x14ac:dyDescent="0.15">
      <c r="A35" s="4"/>
      <c r="B35" s="5">
        <v>29</v>
      </c>
      <c r="C35" s="12"/>
      <c r="D35" s="12"/>
      <c r="E35" s="12"/>
      <c r="F35" s="12"/>
      <c r="G35" s="13" t="str">
        <f t="shared" si="7"/>
        <v/>
      </c>
      <c r="H35" s="13" t="str">
        <f t="shared" si="1"/>
        <v/>
      </c>
      <c r="I35" s="4"/>
      <c r="J35" s="5">
        <f t="shared" si="8"/>
        <v>29</v>
      </c>
      <c r="K35" s="14" t="str">
        <f t="shared" si="2"/>
        <v/>
      </c>
      <c r="L35" s="14" t="str">
        <f t="shared" si="3"/>
        <v/>
      </c>
      <c r="M35" s="19"/>
      <c r="N35" s="12"/>
      <c r="O35" s="19"/>
      <c r="P35" s="12"/>
      <c r="Q35" s="15"/>
      <c r="R35" s="5" t="str">
        <f t="shared" si="4"/>
        <v/>
      </c>
      <c r="S35" s="53"/>
      <c r="T35" s="54"/>
      <c r="U35" s="52">
        <f t="shared" ca="1" si="0"/>
        <v>42570</v>
      </c>
    </row>
    <row r="36" spans="1:21" ht="15" customHeight="1" x14ac:dyDescent="0.15">
      <c r="A36" s="4"/>
      <c r="B36" s="5">
        <v>30</v>
      </c>
      <c r="C36" s="12"/>
      <c r="D36" s="12"/>
      <c r="E36" s="12"/>
      <c r="F36" s="12"/>
      <c r="G36" s="13" t="str">
        <f t="shared" si="7"/>
        <v/>
      </c>
      <c r="H36" s="13" t="str">
        <f t="shared" si="1"/>
        <v/>
      </c>
      <c r="I36" s="4"/>
      <c r="J36" s="5">
        <f t="shared" si="8"/>
        <v>30</v>
      </c>
      <c r="K36" s="14" t="str">
        <f t="shared" si="2"/>
        <v/>
      </c>
      <c r="L36" s="14" t="str">
        <f t="shared" si="3"/>
        <v/>
      </c>
      <c r="M36" s="19"/>
      <c r="N36" s="12"/>
      <c r="O36" s="19"/>
      <c r="P36" s="12"/>
      <c r="Q36" s="15"/>
      <c r="R36" s="5" t="str">
        <f t="shared" si="4"/>
        <v/>
      </c>
      <c r="S36" s="53"/>
      <c r="T36" s="54"/>
      <c r="U36" s="52">
        <f t="shared" ca="1" si="0"/>
        <v>42570</v>
      </c>
    </row>
    <row r="37" spans="1:21" ht="15" customHeight="1" x14ac:dyDescent="0.15">
      <c r="A37" s="4"/>
      <c r="B37" s="5">
        <v>31</v>
      </c>
      <c r="C37" s="12"/>
      <c r="D37" s="12"/>
      <c r="E37" s="12"/>
      <c r="F37" s="12"/>
      <c r="G37" s="13" t="str">
        <f t="shared" si="7"/>
        <v/>
      </c>
      <c r="H37" s="13" t="str">
        <f t="shared" si="1"/>
        <v/>
      </c>
      <c r="I37" s="4"/>
      <c r="J37" s="5">
        <f t="shared" si="8"/>
        <v>31</v>
      </c>
      <c r="K37" s="14" t="str">
        <f t="shared" si="2"/>
        <v/>
      </c>
      <c r="L37" s="14" t="str">
        <f t="shared" si="3"/>
        <v/>
      </c>
      <c r="M37" s="12"/>
      <c r="N37" s="12"/>
      <c r="O37" s="12"/>
      <c r="P37" s="12"/>
      <c r="Q37" s="15"/>
      <c r="R37" s="5" t="str">
        <f t="shared" si="4"/>
        <v/>
      </c>
      <c r="S37" s="53"/>
      <c r="T37" s="54"/>
      <c r="U37" s="52">
        <f t="shared" ca="1" si="0"/>
        <v>42570</v>
      </c>
    </row>
    <row r="38" spans="1:21" ht="15" customHeight="1" x14ac:dyDescent="0.15">
      <c r="A38" s="4"/>
      <c r="B38" s="5">
        <v>32</v>
      </c>
      <c r="C38" s="12"/>
      <c r="D38" s="12"/>
      <c r="E38" s="12"/>
      <c r="F38" s="12"/>
      <c r="G38" s="13" t="str">
        <f t="shared" si="7"/>
        <v/>
      </c>
      <c r="H38" s="13" t="str">
        <f t="shared" si="1"/>
        <v/>
      </c>
      <c r="I38" s="4"/>
      <c r="J38" s="5">
        <f t="shared" si="8"/>
        <v>32</v>
      </c>
      <c r="K38" s="14" t="str">
        <f t="shared" si="2"/>
        <v/>
      </c>
      <c r="L38" s="14" t="str">
        <f t="shared" si="3"/>
        <v/>
      </c>
      <c r="M38" s="12"/>
      <c r="N38" s="12"/>
      <c r="O38" s="12"/>
      <c r="P38" s="12"/>
      <c r="Q38" s="15"/>
      <c r="R38" s="5" t="str">
        <f t="shared" si="4"/>
        <v/>
      </c>
      <c r="S38" s="53"/>
      <c r="T38" s="54"/>
      <c r="U38" s="52">
        <f t="shared" ca="1" si="0"/>
        <v>42570</v>
      </c>
    </row>
    <row r="39" spans="1:21" ht="15" customHeight="1" x14ac:dyDescent="0.15">
      <c r="A39" s="4"/>
      <c r="B39" s="5">
        <v>33</v>
      </c>
      <c r="C39" s="12"/>
      <c r="D39" s="12"/>
      <c r="E39" s="12"/>
      <c r="F39" s="12"/>
      <c r="G39" s="13" t="str">
        <f t="shared" si="7"/>
        <v/>
      </c>
      <c r="H39" s="13" t="str">
        <f t="shared" si="1"/>
        <v/>
      </c>
      <c r="I39" s="4"/>
      <c r="J39" s="5">
        <f t="shared" si="8"/>
        <v>33</v>
      </c>
      <c r="K39" s="14" t="str">
        <f t="shared" si="2"/>
        <v/>
      </c>
      <c r="L39" s="14" t="str">
        <f t="shared" si="3"/>
        <v/>
      </c>
      <c r="M39" s="12"/>
      <c r="N39" s="12"/>
      <c r="O39" s="12"/>
      <c r="P39" s="16"/>
      <c r="Q39" s="15"/>
      <c r="R39" s="5" t="str">
        <f t="shared" si="4"/>
        <v/>
      </c>
      <c r="S39" s="53"/>
      <c r="T39" s="54"/>
      <c r="U39" s="52">
        <f t="shared" ca="1" si="0"/>
        <v>42570</v>
      </c>
    </row>
    <row r="40" spans="1:21" ht="15" customHeight="1" x14ac:dyDescent="0.15">
      <c r="A40" s="4"/>
      <c r="B40" s="5">
        <v>34</v>
      </c>
      <c r="C40" s="12"/>
      <c r="D40" s="12"/>
      <c r="E40" s="12"/>
      <c r="F40" s="12"/>
      <c r="G40" s="13" t="str">
        <f t="shared" si="7"/>
        <v/>
      </c>
      <c r="H40" s="13" t="str">
        <f t="shared" si="1"/>
        <v/>
      </c>
      <c r="I40" s="4"/>
      <c r="J40" s="5">
        <f t="shared" si="8"/>
        <v>34</v>
      </c>
      <c r="K40" s="14" t="str">
        <f t="shared" si="2"/>
        <v/>
      </c>
      <c r="L40" s="14" t="str">
        <f t="shared" si="3"/>
        <v/>
      </c>
      <c r="M40" s="19"/>
      <c r="N40" s="12"/>
      <c r="O40" s="19"/>
      <c r="P40" s="12"/>
      <c r="Q40" s="15"/>
      <c r="R40" s="5" t="str">
        <f t="shared" si="4"/>
        <v/>
      </c>
      <c r="S40" s="53"/>
      <c r="T40" s="54"/>
      <c r="U40" s="52">
        <f t="shared" ca="1" si="0"/>
        <v>42570</v>
      </c>
    </row>
    <row r="41" spans="1:21" ht="15" customHeight="1" x14ac:dyDescent="0.15">
      <c r="A41" s="4"/>
      <c r="B41" s="5">
        <v>35</v>
      </c>
      <c r="C41" s="12"/>
      <c r="D41" s="12"/>
      <c r="E41" s="16"/>
      <c r="F41" s="16"/>
      <c r="G41" s="13" t="str">
        <f t="shared" si="7"/>
        <v/>
      </c>
      <c r="H41" s="13" t="str">
        <f t="shared" si="1"/>
        <v/>
      </c>
      <c r="I41" s="4"/>
      <c r="J41" s="5">
        <f t="shared" si="8"/>
        <v>35</v>
      </c>
      <c r="K41" s="14" t="str">
        <f t="shared" si="2"/>
        <v/>
      </c>
      <c r="L41" s="14" t="str">
        <f t="shared" si="3"/>
        <v/>
      </c>
      <c r="M41" s="12"/>
      <c r="N41" s="12"/>
      <c r="O41" s="12"/>
      <c r="P41" s="16"/>
      <c r="Q41" s="15"/>
      <c r="R41" s="5" t="str">
        <f t="shared" si="4"/>
        <v/>
      </c>
      <c r="S41" s="53"/>
      <c r="T41" s="54"/>
      <c r="U41" s="52">
        <f t="shared" ca="1" si="0"/>
        <v>42570</v>
      </c>
    </row>
    <row r="42" spans="1:21" ht="15" customHeight="1" x14ac:dyDescent="0.15">
      <c r="A42" s="4"/>
      <c r="B42" s="5">
        <v>36</v>
      </c>
      <c r="C42" s="12"/>
      <c r="D42" s="12"/>
      <c r="E42" s="12"/>
      <c r="F42" s="12"/>
      <c r="G42" s="13" t="str">
        <f t="shared" si="7"/>
        <v/>
      </c>
      <c r="H42" s="13" t="str">
        <f t="shared" si="1"/>
        <v/>
      </c>
      <c r="I42" s="4"/>
      <c r="J42" s="5">
        <f t="shared" si="8"/>
        <v>36</v>
      </c>
      <c r="K42" s="14" t="str">
        <f t="shared" si="2"/>
        <v/>
      </c>
      <c r="L42" s="14" t="str">
        <f t="shared" si="3"/>
        <v/>
      </c>
      <c r="M42" s="12"/>
      <c r="N42" s="12"/>
      <c r="O42" s="19"/>
      <c r="P42" s="12"/>
      <c r="Q42" s="15"/>
      <c r="R42" s="5" t="str">
        <f t="shared" si="4"/>
        <v/>
      </c>
      <c r="S42" s="53"/>
      <c r="T42" s="54"/>
      <c r="U42" s="52">
        <f t="shared" ca="1" si="0"/>
        <v>42570</v>
      </c>
    </row>
    <row r="43" spans="1:21" ht="15" customHeight="1" x14ac:dyDescent="0.15">
      <c r="A43" s="4"/>
      <c r="B43" s="5">
        <v>37</v>
      </c>
      <c r="C43" s="12"/>
      <c r="D43" s="12"/>
      <c r="E43" s="12"/>
      <c r="F43" s="12"/>
      <c r="G43" s="13" t="str">
        <f t="shared" si="7"/>
        <v/>
      </c>
      <c r="H43" s="13" t="str">
        <f t="shared" si="1"/>
        <v/>
      </c>
      <c r="I43" s="4"/>
      <c r="J43" s="5">
        <f t="shared" si="8"/>
        <v>37</v>
      </c>
      <c r="K43" s="14" t="str">
        <f t="shared" si="2"/>
        <v/>
      </c>
      <c r="L43" s="14" t="str">
        <f t="shared" si="3"/>
        <v/>
      </c>
      <c r="M43" s="12"/>
      <c r="N43" s="12"/>
      <c r="O43" s="12"/>
      <c r="P43" s="12"/>
      <c r="Q43" s="15"/>
      <c r="R43" s="5" t="str">
        <f t="shared" si="4"/>
        <v/>
      </c>
      <c r="S43" s="53"/>
      <c r="T43" s="54"/>
      <c r="U43" s="52">
        <f t="shared" ca="1" si="0"/>
        <v>42570</v>
      </c>
    </row>
    <row r="44" spans="1:21" ht="15" customHeight="1" x14ac:dyDescent="0.15">
      <c r="A44" s="4"/>
      <c r="B44" s="5">
        <v>38</v>
      </c>
      <c r="C44" s="12"/>
      <c r="D44" s="12"/>
      <c r="E44" s="12"/>
      <c r="F44" s="12"/>
      <c r="G44" s="13" t="str">
        <f t="shared" si="7"/>
        <v/>
      </c>
      <c r="H44" s="13" t="str">
        <f t="shared" si="1"/>
        <v/>
      </c>
      <c r="I44" s="4"/>
      <c r="J44" s="5">
        <f t="shared" si="8"/>
        <v>38</v>
      </c>
      <c r="K44" s="14" t="str">
        <f t="shared" si="2"/>
        <v/>
      </c>
      <c r="L44" s="14" t="str">
        <f t="shared" si="3"/>
        <v/>
      </c>
      <c r="M44" s="12"/>
      <c r="N44" s="12"/>
      <c r="O44" s="12"/>
      <c r="P44" s="12"/>
      <c r="Q44" s="15"/>
      <c r="R44" s="5" t="str">
        <f t="shared" si="4"/>
        <v/>
      </c>
      <c r="S44" s="53"/>
      <c r="T44" s="54"/>
      <c r="U44" s="52">
        <f t="shared" ca="1" si="0"/>
        <v>42570</v>
      </c>
    </row>
    <row r="45" spans="1:21" ht="15" customHeight="1" x14ac:dyDescent="0.15">
      <c r="A45" s="4"/>
      <c r="B45" s="5">
        <v>39</v>
      </c>
      <c r="C45" s="12"/>
      <c r="D45" s="12"/>
      <c r="E45" s="12"/>
      <c r="F45" s="12"/>
      <c r="G45" s="13" t="str">
        <f t="shared" si="7"/>
        <v/>
      </c>
      <c r="H45" s="13" t="str">
        <f t="shared" si="1"/>
        <v/>
      </c>
      <c r="I45" s="4"/>
      <c r="J45" s="5">
        <f t="shared" si="8"/>
        <v>39</v>
      </c>
      <c r="K45" s="14" t="str">
        <f t="shared" si="2"/>
        <v/>
      </c>
      <c r="L45" s="14" t="str">
        <f t="shared" si="3"/>
        <v/>
      </c>
      <c r="M45" s="12"/>
      <c r="N45" s="12"/>
      <c r="O45" s="12"/>
      <c r="P45" s="12"/>
      <c r="Q45" s="15"/>
      <c r="R45" s="5" t="str">
        <f t="shared" si="4"/>
        <v/>
      </c>
      <c r="S45" s="53"/>
      <c r="T45" s="54"/>
      <c r="U45" s="52">
        <f t="shared" ca="1" si="0"/>
        <v>42570</v>
      </c>
    </row>
    <row r="46" spans="1:21" ht="15" customHeight="1" x14ac:dyDescent="0.15">
      <c r="A46" s="4"/>
      <c r="B46" s="5">
        <v>40</v>
      </c>
      <c r="C46" s="12"/>
      <c r="D46" s="12"/>
      <c r="E46" s="12"/>
      <c r="F46" s="12"/>
      <c r="G46" s="13" t="str">
        <f t="shared" si="7"/>
        <v/>
      </c>
      <c r="H46" s="13" t="str">
        <f t="shared" si="1"/>
        <v/>
      </c>
      <c r="I46" s="4"/>
      <c r="J46" s="5">
        <f t="shared" si="8"/>
        <v>40</v>
      </c>
      <c r="K46" s="14" t="str">
        <f t="shared" si="2"/>
        <v/>
      </c>
      <c r="L46" s="14" t="str">
        <f t="shared" si="3"/>
        <v/>
      </c>
      <c r="M46" s="12"/>
      <c r="N46" s="12"/>
      <c r="O46" s="12"/>
      <c r="P46" s="12"/>
      <c r="Q46" s="15"/>
      <c r="R46" s="5" t="str">
        <f t="shared" si="4"/>
        <v/>
      </c>
      <c r="S46" s="53"/>
      <c r="T46" s="54"/>
      <c r="U46" s="52">
        <f t="shared" ca="1" si="0"/>
        <v>42570</v>
      </c>
    </row>
    <row r="47" spans="1:21" ht="15" customHeight="1" x14ac:dyDescent="0.15">
      <c r="A47" s="4"/>
      <c r="B47" s="5">
        <v>41</v>
      </c>
      <c r="C47" s="12"/>
      <c r="D47" s="12"/>
      <c r="E47" s="12"/>
      <c r="F47" s="12"/>
      <c r="G47" s="13" t="str">
        <f t="shared" si="7"/>
        <v/>
      </c>
      <c r="H47" s="13" t="str">
        <f t="shared" si="1"/>
        <v/>
      </c>
      <c r="I47" s="4"/>
      <c r="J47" s="5">
        <f t="shared" si="8"/>
        <v>41</v>
      </c>
      <c r="K47" s="14" t="str">
        <f t="shared" si="2"/>
        <v/>
      </c>
      <c r="L47" s="14" t="str">
        <f t="shared" si="3"/>
        <v/>
      </c>
      <c r="M47" s="12"/>
      <c r="N47" s="12"/>
      <c r="O47" s="12"/>
      <c r="P47" s="16"/>
      <c r="Q47" s="15"/>
      <c r="R47" s="5" t="str">
        <f t="shared" si="4"/>
        <v/>
      </c>
      <c r="S47" s="53"/>
      <c r="T47" s="54"/>
      <c r="U47" s="52">
        <f t="shared" ca="1" si="0"/>
        <v>42570</v>
      </c>
    </row>
    <row r="48" spans="1:21" ht="15" customHeight="1" x14ac:dyDescent="0.15">
      <c r="A48" s="4"/>
      <c r="B48" s="5">
        <v>42</v>
      </c>
      <c r="C48" s="12"/>
      <c r="D48" s="12"/>
      <c r="E48" s="12"/>
      <c r="F48" s="12"/>
      <c r="G48" s="13" t="str">
        <f t="shared" si="7"/>
        <v/>
      </c>
      <c r="H48" s="13" t="str">
        <f t="shared" si="1"/>
        <v/>
      </c>
      <c r="I48" s="4"/>
      <c r="J48" s="5">
        <f t="shared" si="8"/>
        <v>42</v>
      </c>
      <c r="K48" s="14" t="str">
        <f t="shared" si="2"/>
        <v/>
      </c>
      <c r="L48" s="14" t="str">
        <f t="shared" si="3"/>
        <v/>
      </c>
      <c r="M48" s="12"/>
      <c r="N48" s="12"/>
      <c r="O48" s="12"/>
      <c r="P48" s="12"/>
      <c r="Q48" s="15"/>
      <c r="R48" s="5" t="str">
        <f t="shared" si="4"/>
        <v/>
      </c>
      <c r="S48" s="53"/>
      <c r="T48" s="54"/>
      <c r="U48" s="52">
        <f t="shared" ca="1" si="0"/>
        <v>42570</v>
      </c>
    </row>
    <row r="49" spans="1:21" ht="15" customHeight="1" x14ac:dyDescent="0.15">
      <c r="A49" s="4"/>
      <c r="B49" s="5">
        <v>43</v>
      </c>
      <c r="C49" s="12"/>
      <c r="D49" s="12"/>
      <c r="E49" s="12"/>
      <c r="F49" s="12"/>
      <c r="G49" s="13" t="str">
        <f t="shared" si="7"/>
        <v/>
      </c>
      <c r="H49" s="13" t="str">
        <f t="shared" si="1"/>
        <v/>
      </c>
      <c r="I49" s="4"/>
      <c r="J49" s="5">
        <f t="shared" si="8"/>
        <v>43</v>
      </c>
      <c r="K49" s="14" t="str">
        <f t="shared" si="2"/>
        <v/>
      </c>
      <c r="L49" s="14" t="str">
        <f t="shared" si="3"/>
        <v/>
      </c>
      <c r="M49" s="12"/>
      <c r="N49" s="12"/>
      <c r="O49" s="12"/>
      <c r="P49" s="16"/>
      <c r="Q49" s="15"/>
      <c r="R49" s="5" t="str">
        <f t="shared" si="4"/>
        <v/>
      </c>
      <c r="S49" s="53"/>
      <c r="T49" s="54"/>
      <c r="U49" s="52">
        <f t="shared" ca="1" si="0"/>
        <v>42570</v>
      </c>
    </row>
    <row r="50" spans="1:21" ht="15" customHeight="1" x14ac:dyDescent="0.15">
      <c r="A50" s="4"/>
      <c r="B50" s="5">
        <v>44</v>
      </c>
      <c r="C50" s="12"/>
      <c r="D50" s="12"/>
      <c r="E50" s="12"/>
      <c r="F50" s="12"/>
      <c r="G50" s="13" t="str">
        <f t="shared" si="7"/>
        <v/>
      </c>
      <c r="H50" s="13" t="str">
        <f t="shared" si="1"/>
        <v/>
      </c>
      <c r="I50" s="4"/>
      <c r="J50" s="5">
        <f t="shared" si="8"/>
        <v>44</v>
      </c>
      <c r="K50" s="14" t="str">
        <f t="shared" si="2"/>
        <v/>
      </c>
      <c r="L50" s="14" t="str">
        <f t="shared" si="3"/>
        <v/>
      </c>
      <c r="M50" s="16"/>
      <c r="N50" s="16"/>
      <c r="O50" s="16"/>
      <c r="P50" s="12"/>
      <c r="Q50" s="15"/>
      <c r="R50" s="5" t="str">
        <f t="shared" si="4"/>
        <v/>
      </c>
      <c r="S50" s="53"/>
      <c r="T50" s="54"/>
      <c r="U50" s="52">
        <f t="shared" ca="1" si="0"/>
        <v>42570</v>
      </c>
    </row>
    <row r="51" spans="1:21" ht="15" customHeight="1" x14ac:dyDescent="0.15">
      <c r="A51" s="4"/>
      <c r="B51" s="5">
        <v>45</v>
      </c>
      <c r="C51" s="12"/>
      <c r="D51" s="12"/>
      <c r="E51" s="12"/>
      <c r="F51" s="12"/>
      <c r="G51" s="13" t="str">
        <f t="shared" si="7"/>
        <v/>
      </c>
      <c r="H51" s="13" t="str">
        <f t="shared" si="1"/>
        <v/>
      </c>
      <c r="I51" s="4"/>
      <c r="J51" s="5">
        <f t="shared" si="8"/>
        <v>45</v>
      </c>
      <c r="K51" s="18" t="str">
        <f t="shared" si="2"/>
        <v/>
      </c>
      <c r="L51" s="14" t="str">
        <f t="shared" si="3"/>
        <v/>
      </c>
      <c r="M51" s="12"/>
      <c r="N51" s="12"/>
      <c r="O51" s="12"/>
      <c r="P51" s="16"/>
      <c r="Q51" s="15"/>
      <c r="R51" s="5" t="str">
        <f t="shared" si="4"/>
        <v/>
      </c>
      <c r="S51" s="53"/>
      <c r="T51" s="54"/>
      <c r="U51" s="52">
        <f t="shared" ca="1" si="0"/>
        <v>42570</v>
      </c>
    </row>
    <row r="52" spans="1:21" ht="15" customHeight="1" x14ac:dyDescent="0.15">
      <c r="A52" s="4"/>
      <c r="B52" s="5">
        <v>46</v>
      </c>
      <c r="C52" s="12"/>
      <c r="D52" s="12"/>
      <c r="E52" s="12"/>
      <c r="F52" s="12"/>
      <c r="G52" s="13" t="str">
        <f t="shared" si="7"/>
        <v/>
      </c>
      <c r="H52" s="13" t="str">
        <f t="shared" si="1"/>
        <v/>
      </c>
      <c r="I52" s="4"/>
      <c r="J52" s="5">
        <f t="shared" si="8"/>
        <v>46</v>
      </c>
      <c r="K52" s="14" t="str">
        <f t="shared" si="2"/>
        <v/>
      </c>
      <c r="L52" s="14" t="str">
        <f t="shared" si="3"/>
        <v/>
      </c>
      <c r="M52" s="12"/>
      <c r="N52" s="12"/>
      <c r="O52" s="12"/>
      <c r="P52" s="12"/>
      <c r="Q52" s="15"/>
      <c r="R52" s="5" t="str">
        <f t="shared" si="4"/>
        <v/>
      </c>
      <c r="S52" s="53"/>
      <c r="T52" s="54"/>
      <c r="U52" s="52">
        <f t="shared" ca="1" si="0"/>
        <v>42570</v>
      </c>
    </row>
    <row r="53" spans="1:21" ht="15" customHeight="1" x14ac:dyDescent="0.15">
      <c r="A53" s="4"/>
      <c r="B53" s="5">
        <v>47</v>
      </c>
      <c r="C53" s="12"/>
      <c r="D53" s="12"/>
      <c r="E53" s="12"/>
      <c r="F53" s="12"/>
      <c r="G53" s="13" t="str">
        <f t="shared" si="7"/>
        <v/>
      </c>
      <c r="H53" s="13" t="str">
        <f t="shared" si="1"/>
        <v/>
      </c>
      <c r="I53" s="4"/>
      <c r="J53" s="5">
        <f t="shared" si="8"/>
        <v>47</v>
      </c>
      <c r="K53" s="14" t="str">
        <f t="shared" si="2"/>
        <v/>
      </c>
      <c r="L53" s="14" t="str">
        <f t="shared" si="3"/>
        <v/>
      </c>
      <c r="M53" s="12"/>
      <c r="N53" s="12"/>
      <c r="O53" s="12"/>
      <c r="P53" s="16"/>
      <c r="Q53" s="15"/>
      <c r="R53" s="5" t="str">
        <f t="shared" si="4"/>
        <v/>
      </c>
      <c r="S53" s="53"/>
      <c r="T53" s="54"/>
      <c r="U53" s="52">
        <f t="shared" ca="1" si="0"/>
        <v>42570</v>
      </c>
    </row>
    <row r="54" spans="1:21" ht="15" customHeight="1" x14ac:dyDescent="0.15">
      <c r="A54" s="4"/>
      <c r="B54" s="5">
        <v>48</v>
      </c>
      <c r="C54" s="12"/>
      <c r="D54" s="12"/>
      <c r="E54" s="12"/>
      <c r="F54" s="12"/>
      <c r="G54" s="13" t="str">
        <f t="shared" si="7"/>
        <v/>
      </c>
      <c r="H54" s="13" t="str">
        <f t="shared" si="1"/>
        <v/>
      </c>
      <c r="I54" s="4"/>
      <c r="J54" s="5">
        <f t="shared" si="8"/>
        <v>48</v>
      </c>
      <c r="K54" s="14" t="str">
        <f t="shared" si="2"/>
        <v/>
      </c>
      <c r="L54" s="14" t="str">
        <f t="shared" si="3"/>
        <v/>
      </c>
      <c r="M54" s="19"/>
      <c r="N54" s="19"/>
      <c r="O54" s="19"/>
      <c r="P54" s="12"/>
      <c r="Q54" s="15"/>
      <c r="R54" s="5" t="str">
        <f t="shared" si="4"/>
        <v/>
      </c>
      <c r="S54" s="53"/>
      <c r="T54" s="54"/>
      <c r="U54" s="52">
        <f t="shared" ca="1" si="0"/>
        <v>42570</v>
      </c>
    </row>
    <row r="55" spans="1:21" ht="15" customHeight="1" x14ac:dyDescent="0.15">
      <c r="A55" s="4"/>
      <c r="B55" s="5">
        <v>49</v>
      </c>
      <c r="C55" s="19"/>
      <c r="D55" s="12"/>
      <c r="E55" s="19"/>
      <c r="F55" s="12"/>
      <c r="G55" s="13" t="str">
        <f t="shared" si="7"/>
        <v/>
      </c>
      <c r="H55" s="13" t="str">
        <f t="shared" si="1"/>
        <v/>
      </c>
      <c r="I55" s="4"/>
      <c r="J55" s="5">
        <f t="shared" si="8"/>
        <v>49</v>
      </c>
      <c r="K55" s="20" t="str">
        <f t="shared" si="2"/>
        <v/>
      </c>
      <c r="L55" s="14" t="str">
        <f t="shared" si="3"/>
        <v/>
      </c>
      <c r="M55" s="19"/>
      <c r="N55" s="19"/>
      <c r="O55" s="19"/>
      <c r="P55" s="12"/>
      <c r="Q55" s="15"/>
      <c r="R55" s="5" t="str">
        <f t="shared" si="4"/>
        <v/>
      </c>
      <c r="S55" s="53"/>
      <c r="T55" s="54"/>
      <c r="U55" s="52">
        <f t="shared" ca="1" si="0"/>
        <v>42570</v>
      </c>
    </row>
    <row r="56" spans="1:21" ht="15" customHeight="1" x14ac:dyDescent="0.15">
      <c r="A56" s="4"/>
      <c r="B56" s="5">
        <v>50</v>
      </c>
      <c r="C56" s="12"/>
      <c r="D56" s="12"/>
      <c r="E56" s="12"/>
      <c r="F56" s="12"/>
      <c r="G56" s="13" t="str">
        <f t="shared" si="7"/>
        <v/>
      </c>
      <c r="H56" s="13" t="str">
        <f t="shared" si="1"/>
        <v/>
      </c>
      <c r="I56" s="4"/>
      <c r="J56" s="5">
        <f t="shared" si="8"/>
        <v>50</v>
      </c>
      <c r="K56" s="14" t="str">
        <f t="shared" si="2"/>
        <v/>
      </c>
      <c r="L56" s="14" t="str">
        <f t="shared" si="3"/>
        <v/>
      </c>
      <c r="M56" s="19"/>
      <c r="N56" s="19"/>
      <c r="O56" s="19"/>
      <c r="P56" s="12"/>
      <c r="Q56" s="15"/>
      <c r="R56" s="5" t="str">
        <f t="shared" si="4"/>
        <v/>
      </c>
      <c r="S56" s="53"/>
      <c r="T56" s="54"/>
      <c r="U56" s="52">
        <f t="shared" ca="1" si="0"/>
        <v>42570</v>
      </c>
    </row>
    <row r="57" spans="1:21" x14ac:dyDescent="0.15">
      <c r="A57" s="4"/>
      <c r="B57" s="21" t="s">
        <v>85</v>
      </c>
      <c r="C57" s="21"/>
      <c r="D57" s="21"/>
      <c r="E57" s="21"/>
      <c r="F57" s="21"/>
      <c r="G57" s="22"/>
      <c r="H57" s="22"/>
      <c r="I57" s="4"/>
      <c r="J57" s="21" t="s">
        <v>85</v>
      </c>
      <c r="K57" s="21">
        <f>SUM(N57,P57)</f>
        <v>0</v>
      </c>
      <c r="L57" s="21"/>
      <c r="M57" s="21" t="s">
        <v>121</v>
      </c>
      <c r="N57" s="21">
        <f>COUNTIF(P7:P56,"1")</f>
        <v>0</v>
      </c>
      <c r="O57" s="21" t="s">
        <v>122</v>
      </c>
      <c r="P57" s="21">
        <f>COUNTIF(P7:P56,"2")</f>
        <v>0</v>
      </c>
      <c r="Q57" s="21"/>
      <c r="R57" s="21"/>
      <c r="S57" s="21"/>
      <c r="T57" s="21"/>
    </row>
  </sheetData>
  <sheetProtection sheet="1" objects="1" scenarios="1"/>
  <mergeCells count="3">
    <mergeCell ref="A1:Q1"/>
    <mergeCell ref="B2:F4"/>
    <mergeCell ref="J3:M3"/>
  </mergeCells>
  <phoneticPr fontId="2"/>
  <dataValidations count="3">
    <dataValidation imeMode="hiragana" allowBlank="1" showInputMessage="1" showErrorMessage="1" sqref="N7:N56 C7:F56"/>
    <dataValidation imeMode="halfAlpha" allowBlank="1" showInputMessage="1" showErrorMessage="1" sqref="O7:Q56 M7:M56"/>
    <dataValidation imeMode="off" allowBlank="1" showInputMessage="1" showErrorMessage="1" sqref="K7:L56"/>
  </dataValidations>
  <pageMargins left="0.24" right="0.21" top="0.25" bottom="0.32" header="0.25" footer="0.3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2"/>
  <sheetViews>
    <sheetView showZeros="0" zoomScale="80" zoomScaleNormal="80" zoomScaleSheetLayoutView="100" workbookViewId="0">
      <selection activeCell="Q10" sqref="Q10"/>
    </sheetView>
  </sheetViews>
  <sheetFormatPr defaultRowHeight="13.5" x14ac:dyDescent="0.15"/>
  <cols>
    <col min="1" max="1" width="2.5" style="73" customWidth="1"/>
    <col min="2" max="3" width="9" style="73"/>
    <col min="4" max="4" width="10" style="73" customWidth="1"/>
    <col min="5" max="5" width="2.75" style="73" customWidth="1"/>
    <col min="6" max="6" width="10" style="73" customWidth="1"/>
    <col min="7" max="7" width="2.75" style="73" customWidth="1"/>
    <col min="8" max="8" width="10" style="73" customWidth="1"/>
    <col min="9" max="9" width="2.75" style="73" customWidth="1"/>
    <col min="10" max="10" width="10" style="73" customWidth="1"/>
    <col min="11" max="11" width="2.75" style="73" customWidth="1"/>
    <col min="12" max="12" width="10.625" style="73" customWidth="1"/>
    <col min="13" max="13" width="6.75" style="73" customWidth="1"/>
    <col min="14" max="14" width="9" style="73"/>
    <col min="15" max="15" width="1.75" style="73" customWidth="1"/>
    <col min="16" max="16" width="9" style="73"/>
    <col min="17" max="19" width="13.625" style="73" customWidth="1"/>
    <col min="20" max="22" width="9" style="73"/>
    <col min="23" max="23" width="4" style="73" customWidth="1"/>
    <col min="24" max="24" width="11.75" style="73" customWidth="1"/>
    <col min="25" max="27" width="3.875" style="73" customWidth="1"/>
    <col min="28" max="16384" width="9" style="73"/>
  </cols>
  <sheetData>
    <row r="1" spans="2:27" ht="14.25" thickBot="1" x14ac:dyDescent="0.2">
      <c r="C1" s="74"/>
      <c r="W1" s="73" t="s">
        <v>198</v>
      </c>
    </row>
    <row r="2" spans="2:27" x14ac:dyDescent="0.15">
      <c r="B2" s="241" t="str">
        <f>DBCS(CONCATENATE(メインシート!$B$2,メインシート!$C$2,メインシート!$D$2," ",メインシート!$B$3,メインシート!$C$3,メインシート!$D$3," ",メインシート!$F$3))</f>
        <v>平成２８年度　第３９回　東北中学校柔道大会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W2" s="75" t="s">
        <v>192</v>
      </c>
      <c r="X2" s="75" t="s">
        <v>193</v>
      </c>
      <c r="Y2" s="75" t="s">
        <v>194</v>
      </c>
      <c r="Z2" s="75" t="s">
        <v>195</v>
      </c>
      <c r="AA2" s="75" t="s">
        <v>196</v>
      </c>
    </row>
    <row r="3" spans="2:27" ht="14.25" thickBot="1" x14ac:dyDescent="0.2"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6"/>
      <c r="W3" s="76">
        <v>1</v>
      </c>
      <c r="X3" s="76" t="str">
        <f>IF(VLOOKUP(W3,名簿ﾏｽﾀｰ!$J$7:$Q$56,2,0)="","",VLOOKUP(W3,名簿ﾏｽﾀｰ!$J$7:$Q$56,2,0))</f>
        <v/>
      </c>
      <c r="Y3" s="77" t="str">
        <f>IF(VLOOKUP(W3,名簿ﾏｽﾀｰ!$J$7:$Q$56,7,0)="","",VLOOKUP(W3,名簿ﾏｽﾀｰ!$J$7:$Q$56,7,0))</f>
        <v/>
      </c>
      <c r="Z3" s="77" t="str">
        <f>IF(X3="","",IF($Y3=1,COUNTIF(入力ﾌｫｰﾑ!$U$3:$U$10,$W3)+COUNTIF(入力ﾌｫｰﾑ!$U$20:$U$27,$W3),IF($Y3=2,"")))</f>
        <v/>
      </c>
      <c r="AA3" s="77" t="str">
        <f>IF(Y3="","",IF($Y3=2,COUNTIF(入力ﾌｫｰﾑ!$U$13:$U$17,$W3)+COUNTIF(入力ﾌｫｰﾑ!$U$30:$U$37,$W3),IF($Y3=1,"")))</f>
        <v/>
      </c>
    </row>
    <row r="4" spans="2:27" x14ac:dyDescent="0.15">
      <c r="C4" s="74"/>
      <c r="W4" s="76">
        <v>2</v>
      </c>
      <c r="X4" s="76" t="str">
        <f>IF(VLOOKUP(W4,名簿ﾏｽﾀｰ!$J$7:$Q$56,2,0)="","",VLOOKUP(W4,名簿ﾏｽﾀｰ!$J$7:$Q$56,2,0))</f>
        <v/>
      </c>
      <c r="Y4" s="77" t="str">
        <f>IF(VLOOKUP(W4,名簿ﾏｽﾀｰ!$J$7:$Q$56,7,0)="","",VLOOKUP(W4,名簿ﾏｽﾀｰ!$J$7:$Q$56,7,0))</f>
        <v/>
      </c>
      <c r="Z4" s="77" t="str">
        <f>IF(X4="","",IF($Y4=1,COUNTIF(入力ﾌｫｰﾑ!$U$3:$U$10,$W4)+COUNTIF(入力ﾌｫｰﾑ!$U$20:$U$27,$W4),IF($Y4=2,"")))</f>
        <v/>
      </c>
      <c r="AA4" s="77" t="str">
        <f>IF(Y4="","",IF($Y4=2,COUNTIF(入力ﾌｫｰﾑ!$U$13:$U$17,$W4)+COUNTIF(入力ﾌｫｰﾑ!$U$30:$U$37,$W4),IF($Y4=1,"")))</f>
        <v/>
      </c>
    </row>
    <row r="5" spans="2:27" x14ac:dyDescent="0.15">
      <c r="C5" s="74"/>
      <c r="W5" s="76">
        <v>3</v>
      </c>
      <c r="X5" s="76" t="str">
        <f>IF(VLOOKUP(W5,名簿ﾏｽﾀｰ!$J$7:$Q$56,2,0)="","",VLOOKUP(W5,名簿ﾏｽﾀｰ!$J$7:$Q$56,2,0))</f>
        <v/>
      </c>
      <c r="Y5" s="77" t="str">
        <f>IF(VLOOKUP(W5,名簿ﾏｽﾀｰ!$J$7:$Q$56,7,0)="","",VLOOKUP(W5,名簿ﾏｽﾀｰ!$J$7:$Q$56,7,0))</f>
        <v/>
      </c>
      <c r="Z5" s="77" t="str">
        <f>IF(X5="","",IF($Y5=1,COUNTIF(入力ﾌｫｰﾑ!$U$3:$U$10,$W5)+COUNTIF(入力ﾌｫｰﾑ!$U$20:$U$27,$W5),IF($Y5=2,"")))</f>
        <v/>
      </c>
      <c r="AA5" s="77" t="str">
        <f>IF(Y5="","",IF($Y5=2,COUNTIF(入力ﾌｫｰﾑ!$U$13:$U$17,$W5)+COUNTIF(入力ﾌｫｰﾑ!$U$30:$U$37,$W5),IF($Y5=1,"")))</f>
        <v/>
      </c>
    </row>
    <row r="6" spans="2:27" ht="14.25" thickBot="1" x14ac:dyDescent="0.2">
      <c r="C6" s="74"/>
      <c r="W6" s="76">
        <v>4</v>
      </c>
      <c r="X6" s="76" t="str">
        <f>IF(VLOOKUP(W6,名簿ﾏｽﾀｰ!$J$7:$Q$56,2,0)="","",VLOOKUP(W6,名簿ﾏｽﾀｰ!$J$7:$Q$56,2,0))</f>
        <v/>
      </c>
      <c r="Y6" s="77" t="str">
        <f>IF(VLOOKUP(W6,名簿ﾏｽﾀｰ!$J$7:$Q$56,7,0)="","",VLOOKUP(W6,名簿ﾏｽﾀｰ!$J$7:$Q$56,7,0))</f>
        <v/>
      </c>
      <c r="Z6" s="77" t="str">
        <f>IF(X6="","",IF($Y6=1,COUNTIF(入力ﾌｫｰﾑ!$U$3:$U$10,$W6)+COUNTIF(入力ﾌｫｰﾑ!$U$20:$U$27,$W6),IF($Y6=2,"")))</f>
        <v/>
      </c>
      <c r="AA6" s="77" t="str">
        <f>IF(Y6="","",IF($Y6=2,COUNTIF(入力ﾌｫｰﾑ!$U$13:$U$17,$W6)+COUNTIF(入力ﾌｫｰﾑ!$U$30:$U$37,$W6),IF($Y6=1,"")))</f>
        <v/>
      </c>
    </row>
    <row r="7" spans="2:27" ht="13.5" customHeight="1" x14ac:dyDescent="0.15">
      <c r="C7" s="247" t="s">
        <v>123</v>
      </c>
      <c r="D7" s="248"/>
      <c r="E7" s="248"/>
      <c r="F7" s="248"/>
      <c r="G7" s="248"/>
      <c r="H7" s="248"/>
      <c r="I7" s="248"/>
      <c r="J7" s="248"/>
      <c r="K7" s="248"/>
      <c r="L7" s="248"/>
      <c r="M7" s="249"/>
      <c r="W7" s="76">
        <v>5</v>
      </c>
      <c r="X7" s="76" t="str">
        <f>IF(VLOOKUP(W7,名簿ﾏｽﾀｰ!$J$7:$Q$56,2,0)="","",VLOOKUP(W7,名簿ﾏｽﾀｰ!$J$7:$Q$56,2,0))</f>
        <v/>
      </c>
      <c r="Y7" s="77" t="str">
        <f>IF(VLOOKUP(W7,名簿ﾏｽﾀｰ!$J$7:$Q$56,7,0)="","",VLOOKUP(W7,名簿ﾏｽﾀｰ!$J$7:$Q$56,7,0))</f>
        <v/>
      </c>
      <c r="Z7" s="77" t="str">
        <f>IF(X7="","",IF($Y7=1,COUNTIF(入力ﾌｫｰﾑ!$U$3:$U$10,$W7)+COUNTIF(入力ﾌｫｰﾑ!$U$20:$U$27,$W7),IF($Y7=2,"")))</f>
        <v/>
      </c>
      <c r="AA7" s="77" t="str">
        <f>IF(Y7="","",IF($Y7=2,COUNTIF(入力ﾌｫｰﾑ!$U$13:$U$17,$W7)+COUNTIF(入力ﾌｫｰﾑ!$U$30:$U$37,$W7),IF($Y7=1,"")))</f>
        <v/>
      </c>
    </row>
    <row r="8" spans="2:27" ht="14.25" customHeight="1" thickBot="1" x14ac:dyDescent="0.2">
      <c r="C8" s="250"/>
      <c r="D8" s="251"/>
      <c r="E8" s="251"/>
      <c r="F8" s="251"/>
      <c r="G8" s="251"/>
      <c r="H8" s="251"/>
      <c r="I8" s="251"/>
      <c r="J8" s="251"/>
      <c r="K8" s="251"/>
      <c r="L8" s="251"/>
      <c r="M8" s="252"/>
      <c r="W8" s="76">
        <v>6</v>
      </c>
      <c r="X8" s="76" t="str">
        <f>IF(VLOOKUP(W8,名簿ﾏｽﾀｰ!$J$7:$Q$56,2,0)="","",VLOOKUP(W8,名簿ﾏｽﾀｰ!$J$7:$Q$56,2,0))</f>
        <v/>
      </c>
      <c r="Y8" s="77" t="str">
        <f>IF(VLOOKUP(W8,名簿ﾏｽﾀｰ!$J$7:$Q$56,7,0)="","",VLOOKUP(W8,名簿ﾏｽﾀｰ!$J$7:$Q$56,7,0))</f>
        <v/>
      </c>
      <c r="Z8" s="77" t="str">
        <f>IF(X8="","",IF($Y8=1,COUNTIF(入力ﾌｫｰﾑ!$U$3:$U$10,$W8)+COUNTIF(入力ﾌｫｰﾑ!$U$20:$U$27,$W8),IF($Y8=2,"")))</f>
        <v/>
      </c>
      <c r="AA8" s="77" t="str">
        <f>IF(Y8="","",IF($Y8=2,COUNTIF(入力ﾌｫｰﾑ!$U$13:$U$17,$W8)+COUNTIF(入力ﾌｫｰﾑ!$U$30:$U$37,$W8),IF($Y8=1,"")))</f>
        <v/>
      </c>
    </row>
    <row r="9" spans="2:27" ht="14.25" thickBot="1" x14ac:dyDescent="0.2">
      <c r="C9" s="74"/>
      <c r="W9" s="76">
        <v>7</v>
      </c>
      <c r="X9" s="76" t="str">
        <f>IF(VLOOKUP(W9,名簿ﾏｽﾀｰ!$J$7:$Q$56,2,0)="","",VLOOKUP(W9,名簿ﾏｽﾀｰ!$J$7:$Q$56,2,0))</f>
        <v/>
      </c>
      <c r="Y9" s="77" t="str">
        <f>IF(VLOOKUP(W9,名簿ﾏｽﾀｰ!$J$7:$Q$56,7,0)="","",VLOOKUP(W9,名簿ﾏｽﾀｰ!$J$7:$Q$56,7,0))</f>
        <v/>
      </c>
      <c r="Z9" s="77" t="str">
        <f>IF(X9="","",IF($Y9=1,COUNTIF(入力ﾌｫｰﾑ!$U$3:$U$10,$W9)+COUNTIF(入力ﾌｫｰﾑ!$U$20:$U$27,$W9),IF($Y9=2,"")))</f>
        <v/>
      </c>
      <c r="AA9" s="77" t="str">
        <f>IF(Y9="","",IF($Y9=2,COUNTIF(入力ﾌｫｰﾑ!$U$13:$U$17,$W9)+COUNTIF(入力ﾌｫｰﾑ!$U$30:$U$37,$W9),IF($Y9=1,"")))</f>
        <v/>
      </c>
    </row>
    <row r="10" spans="2:27" x14ac:dyDescent="0.15">
      <c r="C10" s="239" t="s">
        <v>124</v>
      </c>
      <c r="D10" s="253"/>
      <c r="E10" s="254"/>
      <c r="F10" s="258" t="str">
        <f>CONCATENATE(メインシート!$B$10,メインシート!$D$10)</f>
        <v>県</v>
      </c>
      <c r="G10" s="259"/>
      <c r="H10" s="259"/>
      <c r="I10" s="259"/>
      <c r="J10" s="259"/>
      <c r="K10" s="259"/>
      <c r="L10" s="259"/>
      <c r="M10" s="260"/>
      <c r="W10" s="76">
        <v>8</v>
      </c>
      <c r="X10" s="76" t="str">
        <f>IF(VLOOKUP(W10,名簿ﾏｽﾀｰ!$J$7:$Q$56,2,0)="","",VLOOKUP(W10,名簿ﾏｽﾀｰ!$J$7:$Q$56,2,0))</f>
        <v/>
      </c>
      <c r="Y10" s="77" t="str">
        <f>IF(VLOOKUP(W10,名簿ﾏｽﾀｰ!$J$7:$Q$56,7,0)="","",VLOOKUP(W10,名簿ﾏｽﾀｰ!$J$7:$Q$56,7,0))</f>
        <v/>
      </c>
      <c r="Z10" s="77" t="str">
        <f>IF(X10="","",IF($Y10=1,COUNTIF(入力ﾌｫｰﾑ!$U$3:$U$10,$W10)+COUNTIF(入力ﾌｫｰﾑ!$U$20:$U$27,$W10),IF($Y10=2,"")))</f>
        <v/>
      </c>
      <c r="AA10" s="77" t="str">
        <f>IF(Y10="","",IF($Y10=2,COUNTIF(入力ﾌｫｰﾑ!$U$13:$U$17,$W10)+COUNTIF(入力ﾌｫｰﾑ!$U$30:$U$37,$W10),IF($Y10=1,"")))</f>
        <v/>
      </c>
    </row>
    <row r="11" spans="2:27" x14ac:dyDescent="0.15">
      <c r="C11" s="255"/>
      <c r="D11" s="256"/>
      <c r="E11" s="257"/>
      <c r="F11" s="261"/>
      <c r="G11" s="262"/>
      <c r="H11" s="262"/>
      <c r="I11" s="262"/>
      <c r="J11" s="262"/>
      <c r="K11" s="262"/>
      <c r="L11" s="262"/>
      <c r="M11" s="263"/>
      <c r="W11" s="76">
        <v>9</v>
      </c>
      <c r="X11" s="76" t="str">
        <f>IF(VLOOKUP(W11,名簿ﾏｽﾀｰ!$J$7:$Q$56,2,0)="","",VLOOKUP(W11,名簿ﾏｽﾀｰ!$J$7:$Q$56,2,0))</f>
        <v/>
      </c>
      <c r="Y11" s="77" t="str">
        <f>IF(VLOOKUP(W11,名簿ﾏｽﾀｰ!$J$7:$Q$56,7,0)="","",VLOOKUP(W11,名簿ﾏｽﾀｰ!$J$7:$Q$56,7,0))</f>
        <v/>
      </c>
      <c r="Z11" s="77" t="str">
        <f>IF(X11="","",IF($Y11=1,COUNTIF(入力ﾌｫｰﾑ!$U$3:$U$10,$W11)+COUNTIF(入力ﾌｫｰﾑ!$U$20:$U$27,$W11),IF($Y11=2,"")))</f>
        <v/>
      </c>
      <c r="AA11" s="77" t="str">
        <f>IF(Y11="","",IF($Y11=2,COUNTIF(入力ﾌｫｰﾑ!$U$13:$U$17,$W11)+COUNTIF(入力ﾌｫｰﾑ!$U$30:$U$37,$W11),IF($Y11=1,"")))</f>
        <v/>
      </c>
    </row>
    <row r="12" spans="2:27" ht="13.5" customHeight="1" x14ac:dyDescent="0.15">
      <c r="C12" s="264" t="s">
        <v>125</v>
      </c>
      <c r="D12" s="265"/>
      <c r="E12" s="266"/>
      <c r="F12" s="268">
        <f>メインシート!$H$6</f>
        <v>0</v>
      </c>
      <c r="G12" s="269"/>
      <c r="H12" s="269"/>
      <c r="I12" s="269"/>
      <c r="J12" s="269"/>
      <c r="K12" s="269"/>
      <c r="L12" s="269"/>
      <c r="M12" s="270"/>
      <c r="W12" s="76">
        <v>10</v>
      </c>
      <c r="X12" s="76" t="str">
        <f>IF(VLOOKUP(W12,名簿ﾏｽﾀｰ!$J$7:$Q$56,2,0)="","",VLOOKUP(W12,名簿ﾏｽﾀｰ!$J$7:$Q$56,2,0))</f>
        <v/>
      </c>
      <c r="Y12" s="77" t="str">
        <f>IF(VLOOKUP(W12,名簿ﾏｽﾀｰ!$J$7:$Q$56,7,0)="","",VLOOKUP(W12,名簿ﾏｽﾀｰ!$J$7:$Q$56,7,0))</f>
        <v/>
      </c>
      <c r="Z12" s="77" t="str">
        <f>IF(X12="","",IF($Y12=1,COUNTIF(入力ﾌｫｰﾑ!$U$3:$U$10,$W12)+COUNTIF(入力ﾌｫｰﾑ!$U$20:$U$27,$W12),IF($Y12=2,"")))</f>
        <v/>
      </c>
      <c r="AA12" s="77" t="str">
        <f>IF(Y12="","",IF($Y12=2,COUNTIF(入力ﾌｫｰﾑ!$U$13:$U$17,$W12)+COUNTIF(入力ﾌｫｰﾑ!$U$30:$U$37,$W12),IF($Y12=1,"")))</f>
        <v/>
      </c>
    </row>
    <row r="13" spans="2:27" ht="14.25" customHeight="1" thickBot="1" x14ac:dyDescent="0.2">
      <c r="C13" s="235"/>
      <c r="D13" s="236"/>
      <c r="E13" s="267"/>
      <c r="F13" s="271"/>
      <c r="G13" s="272"/>
      <c r="H13" s="272"/>
      <c r="I13" s="272"/>
      <c r="J13" s="272"/>
      <c r="K13" s="272"/>
      <c r="L13" s="272"/>
      <c r="M13" s="273"/>
      <c r="W13" s="76">
        <v>11</v>
      </c>
      <c r="X13" s="76" t="str">
        <f>IF(VLOOKUP(W13,名簿ﾏｽﾀｰ!$J$7:$Q$56,2,0)="","",VLOOKUP(W13,名簿ﾏｽﾀｰ!$J$7:$Q$56,2,0))</f>
        <v/>
      </c>
      <c r="Y13" s="77" t="str">
        <f>IF(VLOOKUP(W13,名簿ﾏｽﾀｰ!$J$7:$Q$56,7,0)="","",VLOOKUP(W13,名簿ﾏｽﾀｰ!$J$7:$Q$56,7,0))</f>
        <v/>
      </c>
      <c r="Z13" s="77" t="str">
        <f>IF(X13="","",IF($Y13=1,COUNTIF(入力ﾌｫｰﾑ!$U$3:$U$10,$W13)+COUNTIF(入力ﾌｫｰﾑ!$U$20:$U$27,$W13),IF($Y13=2,"")))</f>
        <v/>
      </c>
      <c r="AA13" s="77" t="str">
        <f>IF(Y13="","",IF($Y13=2,COUNTIF(入力ﾌｫｰﾑ!$U$13:$U$17,$W13)+COUNTIF(入力ﾌｫｰﾑ!$U$30:$U$37,$W13),IF($Y13=1,"")))</f>
        <v/>
      </c>
    </row>
    <row r="14" spans="2:27" ht="14.25" thickBot="1" x14ac:dyDescent="0.2">
      <c r="W14" s="76">
        <v>12</v>
      </c>
      <c r="X14" s="76" t="str">
        <f>IF(VLOOKUP(W14,名簿ﾏｽﾀｰ!$J$7:$Q$56,2,0)="","",VLOOKUP(W14,名簿ﾏｽﾀｰ!$J$7:$Q$56,2,0))</f>
        <v/>
      </c>
      <c r="Y14" s="77" t="str">
        <f>IF(VLOOKUP(W14,名簿ﾏｽﾀｰ!$J$7:$Q$56,7,0)="","",VLOOKUP(W14,名簿ﾏｽﾀｰ!$J$7:$Q$56,7,0))</f>
        <v/>
      </c>
      <c r="Z14" s="77" t="str">
        <f>IF(X14="","",IF($Y14=1,COUNTIF(入力ﾌｫｰﾑ!$U$3:$U$10,$W14)+COUNTIF(入力ﾌｫｰﾑ!$U$20:$U$27,$W14),IF($Y14=2,"")))</f>
        <v/>
      </c>
      <c r="AA14" s="77" t="str">
        <f>IF(Y14="","",IF($Y14=2,COUNTIF(入力ﾌｫｰﾑ!$U$13:$U$17,$W14)+COUNTIF(入力ﾌｫｰﾑ!$U$30:$U$37,$W14),IF($Y14=1,"")))</f>
        <v/>
      </c>
    </row>
    <row r="15" spans="2:27" x14ac:dyDescent="0.15">
      <c r="C15" s="274" t="s">
        <v>126</v>
      </c>
      <c r="D15" s="275"/>
      <c r="E15" s="275"/>
      <c r="F15" s="275"/>
      <c r="G15" s="275"/>
      <c r="H15" s="275"/>
      <c r="I15" s="275"/>
      <c r="J15" s="275"/>
      <c r="K15" s="275"/>
      <c r="L15" s="275"/>
      <c r="M15" s="276"/>
      <c r="W15" s="76">
        <v>13</v>
      </c>
      <c r="X15" s="76" t="str">
        <f>IF(VLOOKUP(W15,名簿ﾏｽﾀｰ!$J$7:$Q$56,2,0)="","",VLOOKUP(W15,名簿ﾏｽﾀｰ!$J$7:$Q$56,2,0))</f>
        <v/>
      </c>
      <c r="Y15" s="77" t="str">
        <f>IF(VLOOKUP(W15,名簿ﾏｽﾀｰ!$J$7:$Q$56,7,0)="","",VLOOKUP(W15,名簿ﾏｽﾀｰ!$J$7:$Q$56,7,0))</f>
        <v/>
      </c>
      <c r="Z15" s="77" t="str">
        <f>IF(X15="","",IF($Y15=1,COUNTIF(入力ﾌｫｰﾑ!$U$3:$U$10,$W15)+COUNTIF(入力ﾌｫｰﾑ!$U$20:$U$27,$W15),IF($Y15=2,"")))</f>
        <v/>
      </c>
      <c r="AA15" s="77" t="str">
        <f>IF(Y15="","",IF($Y15=2,COUNTIF(入力ﾌｫｰﾑ!$U$13:$U$17,$W15)+COUNTIF(入力ﾌｫｰﾑ!$U$30:$U$37,$W15),IF($Y15=1,"")))</f>
        <v/>
      </c>
    </row>
    <row r="16" spans="2:27" ht="14.25" thickBot="1" x14ac:dyDescent="0.2">
      <c r="C16" s="277"/>
      <c r="D16" s="278"/>
      <c r="E16" s="278"/>
      <c r="F16" s="278"/>
      <c r="G16" s="278"/>
      <c r="H16" s="278"/>
      <c r="I16" s="278"/>
      <c r="J16" s="278"/>
      <c r="K16" s="278"/>
      <c r="L16" s="278"/>
      <c r="M16" s="279"/>
      <c r="W16" s="76">
        <v>14</v>
      </c>
      <c r="X16" s="76" t="str">
        <f>IF(VLOOKUP(W16,名簿ﾏｽﾀｰ!$J$7:$Q$56,2,0)="","",VLOOKUP(W16,名簿ﾏｽﾀｰ!$J$7:$Q$56,2,0))</f>
        <v/>
      </c>
      <c r="Y16" s="77" t="str">
        <f>IF(VLOOKUP(W16,名簿ﾏｽﾀｰ!$J$7:$Q$56,7,0)="","",VLOOKUP(W16,名簿ﾏｽﾀｰ!$J$7:$Q$56,7,0))</f>
        <v/>
      </c>
      <c r="Z16" s="77" t="str">
        <f>IF(X16="","",IF($Y16=1,COUNTIF(入力ﾌｫｰﾑ!$U$3:$U$10,$W16)+COUNTIF(入力ﾌｫｰﾑ!$U$20:$U$27,$W16),IF($Y16=2,"")))</f>
        <v/>
      </c>
      <c r="AA16" s="77" t="str">
        <f>IF(Y16="","",IF($Y16=2,COUNTIF(入力ﾌｫｰﾑ!$U$13:$U$17,$W16)+COUNTIF(入力ﾌｫｰﾑ!$U$30:$U$37,$W16),IF($Y16=1,"")))</f>
        <v/>
      </c>
    </row>
    <row r="17" spans="3:27" ht="13.5" customHeight="1" x14ac:dyDescent="0.15">
      <c r="C17" s="280"/>
      <c r="D17" s="282" t="s">
        <v>127</v>
      </c>
      <c r="E17" s="283"/>
      <c r="F17" s="282" t="s">
        <v>128</v>
      </c>
      <c r="G17" s="283"/>
      <c r="H17" s="282" t="s">
        <v>129</v>
      </c>
      <c r="I17" s="283"/>
      <c r="J17" s="282" t="s">
        <v>130</v>
      </c>
      <c r="K17" s="283"/>
      <c r="L17" s="282" t="str">
        <f>CONCATENATE("参加費計
","④×",$R$19,"円")</f>
        <v>参加費計
④×2,000円</v>
      </c>
      <c r="M17" s="288"/>
      <c r="W17" s="76">
        <v>15</v>
      </c>
      <c r="X17" s="76" t="str">
        <f>IF(VLOOKUP(W17,名簿ﾏｽﾀｰ!$J$7:$Q$56,2,0)="","",VLOOKUP(W17,名簿ﾏｽﾀｰ!$J$7:$Q$56,2,0))</f>
        <v/>
      </c>
      <c r="Y17" s="77" t="str">
        <f>IF(VLOOKUP(W17,名簿ﾏｽﾀｰ!$J$7:$Q$56,7,0)="","",VLOOKUP(W17,名簿ﾏｽﾀｰ!$J$7:$Q$56,7,0))</f>
        <v/>
      </c>
      <c r="Z17" s="77" t="str">
        <f>IF(X17="","",IF($Y17=1,COUNTIF(入力ﾌｫｰﾑ!$U$3:$U$10,$W17)+COUNTIF(入力ﾌｫｰﾑ!$U$20:$U$27,$W17),IF($Y17=2,"")))</f>
        <v/>
      </c>
      <c r="AA17" s="77" t="str">
        <f>IF(Y17="","",IF($Y17=2,COUNTIF(入力ﾌｫｰﾑ!$U$13:$U$17,$W17)+COUNTIF(入力ﾌｫｰﾑ!$U$30:$U$37,$W17),IF($Y17=1,"")))</f>
        <v/>
      </c>
    </row>
    <row r="18" spans="3:27" ht="21" customHeight="1" x14ac:dyDescent="0.15">
      <c r="C18" s="281"/>
      <c r="D18" s="284"/>
      <c r="E18" s="285"/>
      <c r="F18" s="284"/>
      <c r="G18" s="285"/>
      <c r="H18" s="284"/>
      <c r="I18" s="285"/>
      <c r="J18" s="284"/>
      <c r="K18" s="285"/>
      <c r="L18" s="284"/>
      <c r="M18" s="289"/>
      <c r="Q18" s="78" t="s">
        <v>178</v>
      </c>
      <c r="W18" s="76">
        <v>16</v>
      </c>
      <c r="X18" s="76" t="str">
        <f>IF(VLOOKUP(W18,名簿ﾏｽﾀｰ!$J$7:$Q$56,2,0)="","",VLOOKUP(W18,名簿ﾏｽﾀｰ!$J$7:$Q$56,2,0))</f>
        <v/>
      </c>
      <c r="Y18" s="77" t="str">
        <f>IF(VLOOKUP(W18,名簿ﾏｽﾀｰ!$J$7:$Q$56,7,0)="","",VLOOKUP(W18,名簿ﾏｽﾀｰ!$J$7:$Q$56,7,0))</f>
        <v/>
      </c>
      <c r="Z18" s="77" t="str">
        <f>IF(X18="","",IF($Y18=1,COUNTIF(入力ﾌｫｰﾑ!$U$3:$U$10,$W18)+COUNTIF(入力ﾌｫｰﾑ!$U$20:$U$27,$W18),IF($Y18=2,"")))</f>
        <v/>
      </c>
      <c r="AA18" s="77" t="str">
        <f>IF(Y18="","",IF($Y18=2,COUNTIF(入力ﾌｫｰﾑ!$U$13:$U$17,$W18)+COUNTIF(入力ﾌｫｰﾑ!$U$30:$U$37,$W18),IF($Y18=1,"")))</f>
        <v/>
      </c>
    </row>
    <row r="19" spans="3:27" ht="26.25" customHeight="1" x14ac:dyDescent="0.15">
      <c r="C19" s="281"/>
      <c r="D19" s="286"/>
      <c r="E19" s="287"/>
      <c r="F19" s="286"/>
      <c r="G19" s="287"/>
      <c r="H19" s="286"/>
      <c r="I19" s="287"/>
      <c r="J19" s="286"/>
      <c r="K19" s="287"/>
      <c r="L19" s="286"/>
      <c r="M19" s="290"/>
      <c r="Q19" s="79">
        <v>2000</v>
      </c>
      <c r="R19" s="80" t="s">
        <v>179</v>
      </c>
      <c r="W19" s="76">
        <v>17</v>
      </c>
      <c r="X19" s="76" t="str">
        <f>IF(VLOOKUP(W19,名簿ﾏｽﾀｰ!$J$7:$Q$56,2,0)="","",VLOOKUP(W19,名簿ﾏｽﾀｰ!$J$7:$Q$56,2,0))</f>
        <v/>
      </c>
      <c r="Y19" s="77" t="str">
        <f>IF(VLOOKUP(W19,名簿ﾏｽﾀｰ!$J$7:$Q$56,7,0)="","",VLOOKUP(W19,名簿ﾏｽﾀｰ!$J$7:$Q$56,7,0))</f>
        <v/>
      </c>
      <c r="Z19" s="77" t="str">
        <f>IF(X19="","",IF($Y19=1,COUNTIF(入力ﾌｫｰﾑ!$U$3:$U$10,$W19)+COUNTIF(入力ﾌｫｰﾑ!$U$20:$U$27,$W19),IF($Y19=2,"")))</f>
        <v/>
      </c>
      <c r="AA19" s="77" t="str">
        <f>IF(Y19="","",IF($Y19=2,COUNTIF(入力ﾌｫｰﾑ!$U$13:$U$17,$W19)+COUNTIF(入力ﾌｫｰﾑ!$U$30:$U$37,$W19),IF($Y19=1,"")))</f>
        <v/>
      </c>
    </row>
    <row r="20" spans="3:27" x14ac:dyDescent="0.15">
      <c r="C20" s="291" t="s">
        <v>107</v>
      </c>
      <c r="D20" s="294">
        <f>Q22</f>
        <v>0</v>
      </c>
      <c r="E20" s="297" t="s">
        <v>131</v>
      </c>
      <c r="F20" s="294">
        <f>R22</f>
        <v>0</v>
      </c>
      <c r="G20" s="297" t="s">
        <v>131</v>
      </c>
      <c r="H20" s="294">
        <f>S22</f>
        <v>0</v>
      </c>
      <c r="I20" s="297" t="s">
        <v>131</v>
      </c>
      <c r="J20" s="300">
        <f>(D20+F20)-H20</f>
        <v>0</v>
      </c>
      <c r="K20" s="297" t="s">
        <v>131</v>
      </c>
      <c r="L20" s="303">
        <f>J20*$Q$19</f>
        <v>0</v>
      </c>
      <c r="M20" s="304"/>
      <c r="N20" s="81"/>
      <c r="W20" s="76">
        <v>18</v>
      </c>
      <c r="X20" s="76" t="str">
        <f>IF(VLOOKUP(W20,名簿ﾏｽﾀｰ!$J$7:$Q$56,2,0)="","",VLOOKUP(W20,名簿ﾏｽﾀｰ!$J$7:$Q$56,2,0))</f>
        <v/>
      </c>
      <c r="Y20" s="77" t="str">
        <f>IF(VLOOKUP(W20,名簿ﾏｽﾀｰ!$J$7:$Q$56,7,0)="","",VLOOKUP(W20,名簿ﾏｽﾀｰ!$J$7:$Q$56,7,0))</f>
        <v/>
      </c>
      <c r="Z20" s="77" t="str">
        <f>IF(X20="","",IF($Y20=1,COUNTIF(入力ﾌｫｰﾑ!$U$3:$U$10,$W20)+COUNTIF(入力ﾌｫｰﾑ!$U$20:$U$27,$W20),IF($Y20=2,"")))</f>
        <v/>
      </c>
      <c r="AA20" s="77" t="str">
        <f>IF(Y20="","",IF($Y20=2,COUNTIF(入力ﾌｫｰﾑ!$U$13:$U$17,$W20)+COUNTIF(入力ﾌｫｰﾑ!$U$30:$U$37,$W20),IF($Y20=1,"")))</f>
        <v/>
      </c>
    </row>
    <row r="21" spans="3:27" x14ac:dyDescent="0.15">
      <c r="C21" s="292"/>
      <c r="D21" s="295"/>
      <c r="E21" s="298"/>
      <c r="F21" s="295"/>
      <c r="G21" s="298"/>
      <c r="H21" s="295"/>
      <c r="I21" s="298"/>
      <c r="J21" s="301"/>
      <c r="K21" s="298"/>
      <c r="L21" s="305"/>
      <c r="M21" s="306"/>
      <c r="N21" s="81"/>
      <c r="Q21" s="77" t="s">
        <v>187</v>
      </c>
      <c r="R21" s="77" t="s">
        <v>188</v>
      </c>
      <c r="S21" s="77" t="s">
        <v>189</v>
      </c>
      <c r="W21" s="76">
        <v>19</v>
      </c>
      <c r="X21" s="76" t="str">
        <f>IF(VLOOKUP(W21,名簿ﾏｽﾀｰ!$J$7:$Q$56,2,0)="","",VLOOKUP(W21,名簿ﾏｽﾀｰ!$J$7:$Q$56,2,0))</f>
        <v/>
      </c>
      <c r="Y21" s="77" t="str">
        <f>IF(VLOOKUP(W21,名簿ﾏｽﾀｰ!$J$7:$Q$56,7,0)="","",VLOOKUP(W21,名簿ﾏｽﾀｰ!$J$7:$Q$56,7,0))</f>
        <v/>
      </c>
      <c r="Z21" s="77" t="str">
        <f>IF(X21="","",IF($Y21=1,COUNTIF(入力ﾌｫｰﾑ!$U$3:$U$10,$W21)+COUNTIF(入力ﾌｫｰﾑ!$U$20:$U$27,$W21),IF($Y21=2,"")))</f>
        <v/>
      </c>
      <c r="AA21" s="77" t="str">
        <f>IF(Y21="","",IF($Y21=2,COUNTIF(入力ﾌｫｰﾑ!$U$13:$U$17,$W21)+COUNTIF(入力ﾌｫｰﾑ!$U$30:$U$37,$W21),IF($Y21=1,"")))</f>
        <v/>
      </c>
    </row>
    <row r="22" spans="3:27" x14ac:dyDescent="0.15">
      <c r="C22" s="292"/>
      <c r="D22" s="295"/>
      <c r="E22" s="298"/>
      <c r="F22" s="295"/>
      <c r="G22" s="298"/>
      <c r="H22" s="295"/>
      <c r="I22" s="298"/>
      <c r="J22" s="301"/>
      <c r="K22" s="298"/>
      <c r="L22" s="305"/>
      <c r="M22" s="306"/>
      <c r="N22" s="81"/>
      <c r="Q22" s="77">
        <f>IF(COUNTA(入力ﾌｫｰﾑ!$U$3:$U$10)=0,0,COUNTA(入力ﾌｫｰﾑ!$U$3:$U$10))</f>
        <v>0</v>
      </c>
      <c r="R22" s="77">
        <f>IF(COUNTA(入力ﾌｫｰﾑ!$U$20:$U$27)=0,0,COUNTA(入力ﾌｫｰﾑ!$U$20:$U$27))</f>
        <v>0</v>
      </c>
      <c r="S22" s="77">
        <f>COUNTIF($Z$3:$Z$52,2)</f>
        <v>0</v>
      </c>
      <c r="W22" s="76">
        <v>20</v>
      </c>
      <c r="X22" s="76" t="str">
        <f>IF(VLOOKUP(W22,名簿ﾏｽﾀｰ!$J$7:$Q$56,2,0)="","",VLOOKUP(W22,名簿ﾏｽﾀｰ!$J$7:$Q$56,2,0))</f>
        <v/>
      </c>
      <c r="Y22" s="77" t="str">
        <f>IF(VLOOKUP(W22,名簿ﾏｽﾀｰ!$J$7:$Q$56,7,0)="","",VLOOKUP(W22,名簿ﾏｽﾀｰ!$J$7:$Q$56,7,0))</f>
        <v/>
      </c>
      <c r="Z22" s="77" t="str">
        <f>IF(X22="","",IF($Y22=1,COUNTIF(入力ﾌｫｰﾑ!$U$3:$U$10,$W22)+COUNTIF(入力ﾌｫｰﾑ!$U$20:$U$27,$W22),IF($Y22=2,"")))</f>
        <v/>
      </c>
      <c r="AA22" s="77" t="str">
        <f>IF(Y22="","",IF($Y22=2,COUNTIF(入力ﾌｫｰﾑ!$U$13:$U$17,$W22)+COUNTIF(入力ﾌｫｰﾑ!$U$30:$U$37,$W22),IF($Y22=1,"")))</f>
        <v/>
      </c>
    </row>
    <row r="23" spans="3:27" x14ac:dyDescent="0.15">
      <c r="C23" s="293"/>
      <c r="D23" s="296"/>
      <c r="E23" s="299"/>
      <c r="F23" s="296"/>
      <c r="G23" s="299"/>
      <c r="H23" s="296"/>
      <c r="I23" s="299"/>
      <c r="J23" s="302"/>
      <c r="K23" s="299"/>
      <c r="L23" s="307"/>
      <c r="M23" s="308"/>
      <c r="N23" s="81"/>
      <c r="W23" s="76">
        <v>21</v>
      </c>
      <c r="X23" s="76" t="str">
        <f>IF(VLOOKUP(W23,名簿ﾏｽﾀｰ!$J$7:$Q$56,2,0)="","",VLOOKUP(W23,名簿ﾏｽﾀｰ!$J$7:$Q$56,2,0))</f>
        <v/>
      </c>
      <c r="Y23" s="77" t="str">
        <f>IF(VLOOKUP(W23,名簿ﾏｽﾀｰ!$J$7:$Q$56,7,0)="","",VLOOKUP(W23,名簿ﾏｽﾀｰ!$J$7:$Q$56,7,0))</f>
        <v/>
      </c>
      <c r="Z23" s="77" t="str">
        <f>IF(X23="","",IF($Y23=1,COUNTIF(入力ﾌｫｰﾑ!$U$3:$U$10,$W23)+COUNTIF(入力ﾌｫｰﾑ!$U$20:$U$27,$W23),IF($Y23=2,"")))</f>
        <v/>
      </c>
      <c r="AA23" s="77" t="str">
        <f>IF(Y23="","",IF($Y23=2,COUNTIF(入力ﾌｫｰﾑ!$U$13:$U$17,$W23)+COUNTIF(入力ﾌｫｰﾑ!$U$30:$U$37,$W23),IF($Y23=1,"")))</f>
        <v/>
      </c>
    </row>
    <row r="24" spans="3:27" ht="13.5" customHeight="1" x14ac:dyDescent="0.15">
      <c r="C24" s="291" t="s">
        <v>108</v>
      </c>
      <c r="D24" s="294">
        <f>Q26</f>
        <v>0</v>
      </c>
      <c r="E24" s="297" t="s">
        <v>131</v>
      </c>
      <c r="F24" s="294">
        <f>R26</f>
        <v>0</v>
      </c>
      <c r="G24" s="297" t="s">
        <v>131</v>
      </c>
      <c r="H24" s="294">
        <f>S26</f>
        <v>0</v>
      </c>
      <c r="I24" s="297" t="s">
        <v>131</v>
      </c>
      <c r="J24" s="300">
        <f>(D24+F24)-H24</f>
        <v>0</v>
      </c>
      <c r="K24" s="297" t="s">
        <v>131</v>
      </c>
      <c r="L24" s="303">
        <f>J24*$Q$19</f>
        <v>0</v>
      </c>
      <c r="M24" s="304"/>
      <c r="N24" s="81"/>
      <c r="W24" s="76">
        <v>22</v>
      </c>
      <c r="X24" s="76" t="str">
        <f>IF(VLOOKUP(W24,名簿ﾏｽﾀｰ!$J$7:$Q$56,2,0)="","",VLOOKUP(W24,名簿ﾏｽﾀｰ!$J$7:$Q$56,2,0))</f>
        <v/>
      </c>
      <c r="Y24" s="77" t="str">
        <f>IF(VLOOKUP(W24,名簿ﾏｽﾀｰ!$J$7:$Q$56,7,0)="","",VLOOKUP(W24,名簿ﾏｽﾀｰ!$J$7:$Q$56,7,0))</f>
        <v/>
      </c>
      <c r="Z24" s="77" t="str">
        <f>IF(X24="","",IF($Y24=1,COUNTIF(入力ﾌｫｰﾑ!$U$3:$U$10,$W24)+COUNTIF(入力ﾌｫｰﾑ!$U$20:$U$27,$W24),IF($Y24=2,"")))</f>
        <v/>
      </c>
      <c r="AA24" s="77" t="str">
        <f>IF(Y24="","",IF($Y24=2,COUNTIF(入力ﾌｫｰﾑ!$U$13:$U$17,$W24)+COUNTIF(入力ﾌｫｰﾑ!$U$30:$U$37,$W24),IF($Y24=1,"")))</f>
        <v/>
      </c>
    </row>
    <row r="25" spans="3:27" ht="13.5" customHeight="1" x14ac:dyDescent="0.15">
      <c r="C25" s="292"/>
      <c r="D25" s="295"/>
      <c r="E25" s="298"/>
      <c r="F25" s="295"/>
      <c r="G25" s="298"/>
      <c r="H25" s="295"/>
      <c r="I25" s="298"/>
      <c r="J25" s="301"/>
      <c r="K25" s="298"/>
      <c r="L25" s="305"/>
      <c r="M25" s="306"/>
      <c r="N25" s="81"/>
      <c r="Q25" s="77" t="s">
        <v>190</v>
      </c>
      <c r="R25" s="77" t="s">
        <v>191</v>
      </c>
      <c r="S25" s="77" t="s">
        <v>189</v>
      </c>
      <c r="W25" s="76">
        <v>23</v>
      </c>
      <c r="X25" s="76" t="str">
        <f>IF(VLOOKUP(W25,名簿ﾏｽﾀｰ!$J$7:$Q$56,2,0)="","",VLOOKUP(W25,名簿ﾏｽﾀｰ!$J$7:$Q$56,2,0))</f>
        <v/>
      </c>
      <c r="Y25" s="77" t="str">
        <f>IF(VLOOKUP(W25,名簿ﾏｽﾀｰ!$J$7:$Q$56,7,0)="","",VLOOKUP(W25,名簿ﾏｽﾀｰ!$J$7:$Q$56,7,0))</f>
        <v/>
      </c>
      <c r="Z25" s="77" t="str">
        <f>IF(X25="","",IF($Y25=1,COUNTIF(入力ﾌｫｰﾑ!$U$3:$U$10,$W25)+COUNTIF(入力ﾌｫｰﾑ!$U$20:$U$27,$W25),IF($Y25=2,"")))</f>
        <v/>
      </c>
      <c r="AA25" s="77" t="str">
        <f>IF(Y25="","",IF($Y25=2,COUNTIF(入力ﾌｫｰﾑ!$U$13:$U$17,$W25)+COUNTIF(入力ﾌｫｰﾑ!$U$30:$U$37,$W25),IF($Y25=1,"")))</f>
        <v/>
      </c>
    </row>
    <row r="26" spans="3:27" ht="13.5" customHeight="1" x14ac:dyDescent="0.15">
      <c r="C26" s="292"/>
      <c r="D26" s="295"/>
      <c r="E26" s="298"/>
      <c r="F26" s="295"/>
      <c r="G26" s="298"/>
      <c r="H26" s="295"/>
      <c r="I26" s="298"/>
      <c r="J26" s="301"/>
      <c r="K26" s="298"/>
      <c r="L26" s="305"/>
      <c r="M26" s="306"/>
      <c r="N26" s="81"/>
      <c r="Q26" s="77">
        <f>IF(COUNTA(入力ﾌｫｰﾑ!$U$13:$U$17)=0,0,COUNTA(入力ﾌｫｰﾑ!$U$13:$U$17))</f>
        <v>0</v>
      </c>
      <c r="R26" s="77">
        <f>IF(COUNTA(入力ﾌｫｰﾑ!$U$30:$U$37)=0,0,COUNTA(入力ﾌｫｰﾑ!$U$30:$U$37))</f>
        <v>0</v>
      </c>
      <c r="S26" s="77">
        <f>COUNTIF($AA$3:$AA$52,2)</f>
        <v>0</v>
      </c>
      <c r="W26" s="76">
        <v>24</v>
      </c>
      <c r="X26" s="76" t="str">
        <f>IF(VLOOKUP(W26,名簿ﾏｽﾀｰ!$J$7:$Q$56,2,0)="","",VLOOKUP(W26,名簿ﾏｽﾀｰ!$J$7:$Q$56,2,0))</f>
        <v/>
      </c>
      <c r="Y26" s="77" t="str">
        <f>IF(VLOOKUP(W26,名簿ﾏｽﾀｰ!$J$7:$Q$56,7,0)="","",VLOOKUP(W26,名簿ﾏｽﾀｰ!$J$7:$Q$56,7,0))</f>
        <v/>
      </c>
      <c r="Z26" s="77" t="str">
        <f>IF(X26="","",IF($Y26=1,COUNTIF(入力ﾌｫｰﾑ!$U$3:$U$10,$W26)+COUNTIF(入力ﾌｫｰﾑ!$U$20:$U$27,$W26),IF($Y26=2,"")))</f>
        <v/>
      </c>
      <c r="AA26" s="77" t="str">
        <f>IF(Y26="","",IF($Y26=2,COUNTIF(入力ﾌｫｰﾑ!$U$13:$U$17,$W26)+COUNTIF(入力ﾌｫｰﾑ!$U$30:$U$37,$W26),IF($Y26=1,"")))</f>
        <v/>
      </c>
    </row>
    <row r="27" spans="3:27" ht="13.5" customHeight="1" thickBot="1" x14ac:dyDescent="0.2">
      <c r="C27" s="293"/>
      <c r="D27" s="296"/>
      <c r="E27" s="299"/>
      <c r="F27" s="296"/>
      <c r="G27" s="299"/>
      <c r="H27" s="296"/>
      <c r="I27" s="299"/>
      <c r="J27" s="302"/>
      <c r="K27" s="299"/>
      <c r="L27" s="305"/>
      <c r="M27" s="306"/>
      <c r="N27" s="81"/>
      <c r="W27" s="76">
        <v>25</v>
      </c>
      <c r="X27" s="76" t="str">
        <f>IF(VLOOKUP(W27,名簿ﾏｽﾀｰ!$J$7:$Q$56,2,0)="","",VLOOKUP(W27,名簿ﾏｽﾀｰ!$J$7:$Q$56,2,0))</f>
        <v/>
      </c>
      <c r="Y27" s="77" t="str">
        <f>IF(VLOOKUP(W27,名簿ﾏｽﾀｰ!$J$7:$Q$56,7,0)="","",VLOOKUP(W27,名簿ﾏｽﾀｰ!$J$7:$Q$56,7,0))</f>
        <v/>
      </c>
      <c r="Z27" s="77" t="str">
        <f>IF(X27="","",IF($Y27=1,COUNTIF(入力ﾌｫｰﾑ!$U$3:$U$10,$W27)+COUNTIF(入力ﾌｫｰﾑ!$U$20:$U$27,$W27),IF($Y27=2,"")))</f>
        <v/>
      </c>
      <c r="AA27" s="77" t="str">
        <f>IF(Y27="","",IF($Y27=2,COUNTIF(入力ﾌｫｰﾑ!$U$13:$U$17,$W27)+COUNTIF(入力ﾌｫｰﾑ!$U$30:$U$37,$W27),IF($Y27=1,"")))</f>
        <v/>
      </c>
    </row>
    <row r="28" spans="3:27" x14ac:dyDescent="0.15">
      <c r="C28" s="309" t="s">
        <v>132</v>
      </c>
      <c r="D28" s="300">
        <f>D20+D24</f>
        <v>0</v>
      </c>
      <c r="E28" s="297" t="s">
        <v>131</v>
      </c>
      <c r="F28" s="300">
        <f>F20+F24</f>
        <v>0</v>
      </c>
      <c r="G28" s="297" t="s">
        <v>131</v>
      </c>
      <c r="H28" s="300">
        <f>H20+H24</f>
        <v>0</v>
      </c>
      <c r="I28" s="297" t="s">
        <v>131</v>
      </c>
      <c r="J28" s="300">
        <f>J20+J24</f>
        <v>0</v>
      </c>
      <c r="K28" s="314" t="s">
        <v>131</v>
      </c>
      <c r="L28" s="317">
        <f>L20+L24</f>
        <v>0</v>
      </c>
      <c r="M28" s="318"/>
      <c r="W28" s="76">
        <v>26</v>
      </c>
      <c r="X28" s="76" t="str">
        <f>IF(VLOOKUP(W28,名簿ﾏｽﾀｰ!$J$7:$Q$56,2,0)="","",VLOOKUP(W28,名簿ﾏｽﾀｰ!$J$7:$Q$56,2,0))</f>
        <v/>
      </c>
      <c r="Y28" s="77" t="str">
        <f>IF(VLOOKUP(W28,名簿ﾏｽﾀｰ!$J$7:$Q$56,7,0)="","",VLOOKUP(W28,名簿ﾏｽﾀｰ!$J$7:$Q$56,7,0))</f>
        <v/>
      </c>
      <c r="Z28" s="77" t="str">
        <f>IF(X28="","",IF($Y28=1,COUNTIF(入力ﾌｫｰﾑ!$U$3:$U$10,$W28)+COUNTIF(入力ﾌｫｰﾑ!$U$20:$U$27,$W28),IF($Y28=2,"")))</f>
        <v/>
      </c>
      <c r="AA28" s="77" t="str">
        <f>IF(Y28="","",IF($Y28=2,COUNTIF(入力ﾌｫｰﾑ!$U$13:$U$17,$W28)+COUNTIF(入力ﾌｫｰﾑ!$U$30:$U$37,$W28),IF($Y28=1,"")))</f>
        <v/>
      </c>
    </row>
    <row r="29" spans="3:27" x14ac:dyDescent="0.15">
      <c r="C29" s="310"/>
      <c r="D29" s="301"/>
      <c r="E29" s="298"/>
      <c r="F29" s="301"/>
      <c r="G29" s="298"/>
      <c r="H29" s="301"/>
      <c r="I29" s="298"/>
      <c r="J29" s="301"/>
      <c r="K29" s="315"/>
      <c r="L29" s="319"/>
      <c r="M29" s="306"/>
      <c r="W29" s="76">
        <v>27</v>
      </c>
      <c r="X29" s="76" t="str">
        <f>IF(VLOOKUP(W29,名簿ﾏｽﾀｰ!$J$7:$Q$56,2,0)="","",VLOOKUP(W29,名簿ﾏｽﾀｰ!$J$7:$Q$56,2,0))</f>
        <v/>
      </c>
      <c r="Y29" s="77" t="str">
        <f>IF(VLOOKUP(W29,名簿ﾏｽﾀｰ!$J$7:$Q$56,7,0)="","",VLOOKUP(W29,名簿ﾏｽﾀｰ!$J$7:$Q$56,7,0))</f>
        <v/>
      </c>
      <c r="Z29" s="77" t="str">
        <f>IF(X29="","",IF($Y29=1,COUNTIF(入力ﾌｫｰﾑ!$U$3:$U$10,$W29)+COUNTIF(入力ﾌｫｰﾑ!$U$20:$U$27,$W29),IF($Y29=2,"")))</f>
        <v/>
      </c>
      <c r="AA29" s="77" t="str">
        <f>IF(Y29="","",IF($Y29=2,COUNTIF(入力ﾌｫｰﾑ!$U$13:$U$17,$W29)+COUNTIF(入力ﾌｫｰﾑ!$U$30:$U$37,$W29),IF($Y29=1,"")))</f>
        <v/>
      </c>
    </row>
    <row r="30" spans="3:27" x14ac:dyDescent="0.15">
      <c r="C30" s="310"/>
      <c r="D30" s="301"/>
      <c r="E30" s="298"/>
      <c r="F30" s="301"/>
      <c r="G30" s="298"/>
      <c r="H30" s="301"/>
      <c r="I30" s="298"/>
      <c r="J30" s="301"/>
      <c r="K30" s="315"/>
      <c r="L30" s="319"/>
      <c r="M30" s="306"/>
      <c r="W30" s="76">
        <v>28</v>
      </c>
      <c r="X30" s="76" t="str">
        <f>IF(VLOOKUP(W30,名簿ﾏｽﾀｰ!$J$7:$Q$56,2,0)="","",VLOOKUP(W30,名簿ﾏｽﾀｰ!$J$7:$Q$56,2,0))</f>
        <v/>
      </c>
      <c r="Y30" s="77" t="str">
        <f>IF(VLOOKUP(W30,名簿ﾏｽﾀｰ!$J$7:$Q$56,7,0)="","",VLOOKUP(W30,名簿ﾏｽﾀｰ!$J$7:$Q$56,7,0))</f>
        <v/>
      </c>
      <c r="Z30" s="77" t="str">
        <f>IF(X30="","",IF($Y30=1,COUNTIF(入力ﾌｫｰﾑ!$U$3:$U$10,$W30)+COUNTIF(入力ﾌｫｰﾑ!$U$20:$U$27,$W30),IF($Y30=2,"")))</f>
        <v/>
      </c>
      <c r="AA30" s="77" t="str">
        <f>IF(Y30="","",IF($Y30=2,COUNTIF(入力ﾌｫｰﾑ!$U$13:$U$17,$W30)+COUNTIF(入力ﾌｫｰﾑ!$U$30:$U$37,$W30),IF($Y30=1,"")))</f>
        <v/>
      </c>
    </row>
    <row r="31" spans="3:27" ht="14.25" thickBot="1" x14ac:dyDescent="0.2">
      <c r="C31" s="311"/>
      <c r="D31" s="312"/>
      <c r="E31" s="313"/>
      <c r="F31" s="312"/>
      <c r="G31" s="313"/>
      <c r="H31" s="312"/>
      <c r="I31" s="313"/>
      <c r="J31" s="312"/>
      <c r="K31" s="316"/>
      <c r="L31" s="320"/>
      <c r="M31" s="321"/>
      <c r="W31" s="76">
        <v>29</v>
      </c>
      <c r="X31" s="76" t="str">
        <f>IF(VLOOKUP(W31,名簿ﾏｽﾀｰ!$J$7:$Q$56,2,0)="","",VLOOKUP(W31,名簿ﾏｽﾀｰ!$J$7:$Q$56,2,0))</f>
        <v/>
      </c>
      <c r="Y31" s="77" t="str">
        <f>IF(VLOOKUP(W31,名簿ﾏｽﾀｰ!$J$7:$Q$56,7,0)="","",VLOOKUP(W31,名簿ﾏｽﾀｰ!$J$7:$Q$56,7,0))</f>
        <v/>
      </c>
      <c r="Z31" s="77" t="str">
        <f>IF(X31="","",IF($Y31=1,COUNTIF(入力ﾌｫｰﾑ!$U$3:$U$10,$W31)+COUNTIF(入力ﾌｫｰﾑ!$U$20:$U$27,$W31),IF($Y31=2,"")))</f>
        <v/>
      </c>
      <c r="AA31" s="77" t="str">
        <f>IF(Y31="","",IF($Y31=2,COUNTIF(入力ﾌｫｰﾑ!$U$13:$U$17,$W31)+COUNTIF(入力ﾌｫｰﾑ!$U$30:$U$37,$W31),IF($Y31=1,"")))</f>
        <v/>
      </c>
    </row>
    <row r="32" spans="3:27" ht="14.25" thickBot="1" x14ac:dyDescent="0.2">
      <c r="M32" s="81"/>
      <c r="Q32" s="78" t="s">
        <v>180</v>
      </c>
      <c r="W32" s="76">
        <v>30</v>
      </c>
      <c r="X32" s="76" t="str">
        <f>IF(VLOOKUP(W32,名簿ﾏｽﾀｰ!$J$7:$Q$56,2,0)="","",VLOOKUP(W32,名簿ﾏｽﾀｰ!$J$7:$Q$56,2,0))</f>
        <v/>
      </c>
      <c r="Y32" s="77" t="str">
        <f>IF(VLOOKUP(W32,名簿ﾏｽﾀｰ!$J$7:$Q$56,7,0)="","",VLOOKUP(W32,名簿ﾏｽﾀｰ!$J$7:$Q$56,7,0))</f>
        <v/>
      </c>
      <c r="Z32" s="77" t="str">
        <f>IF(X32="","",IF($Y32=1,COUNTIF(入力ﾌｫｰﾑ!$U$3:$U$10,$W32)+COUNTIF(入力ﾌｫｰﾑ!$U$20:$U$27,$W32),IF($Y32=2,"")))</f>
        <v/>
      </c>
      <c r="AA32" s="77" t="str">
        <f>IF(Y32="","",IF($Y32=2,COUNTIF(入力ﾌｫｰﾑ!$U$13:$U$17,$W32)+COUNTIF(入力ﾌｫｰﾑ!$U$30:$U$37,$W32),IF($Y32=1,"")))</f>
        <v/>
      </c>
    </row>
    <row r="33" spans="3:27" ht="48.75" customHeight="1" thickBot="1" x14ac:dyDescent="0.2">
      <c r="C33" s="332" t="s">
        <v>133</v>
      </c>
      <c r="D33" s="333"/>
      <c r="E33" s="333"/>
      <c r="F33" s="333"/>
      <c r="G33" s="334">
        <f>入力ﾌｫｰﾑ!$F$6</f>
        <v>0</v>
      </c>
      <c r="H33" s="335"/>
      <c r="I33" s="82" t="s">
        <v>134</v>
      </c>
      <c r="J33" s="336" t="str">
        <f>CONCATENATE("プログラム代
冊数×",$R$33,"円")</f>
        <v>プログラム代
冊数×1,000円</v>
      </c>
      <c r="K33" s="337"/>
      <c r="L33" s="338">
        <f>G33*Q33</f>
        <v>0</v>
      </c>
      <c r="M33" s="339"/>
      <c r="Q33" s="79">
        <v>1000</v>
      </c>
      <c r="R33" s="80" t="s">
        <v>181</v>
      </c>
      <c r="W33" s="76">
        <v>31</v>
      </c>
      <c r="X33" s="76" t="str">
        <f>IF(VLOOKUP(W33,名簿ﾏｽﾀｰ!$J$7:$Q$56,2,0)="","",VLOOKUP(W33,名簿ﾏｽﾀｰ!$J$7:$Q$56,2,0))</f>
        <v/>
      </c>
      <c r="Y33" s="77" t="str">
        <f>IF(VLOOKUP(W33,名簿ﾏｽﾀｰ!$J$7:$Q$56,7,0)="","",VLOOKUP(W33,名簿ﾏｽﾀｰ!$J$7:$Q$56,7,0))</f>
        <v/>
      </c>
      <c r="Z33" s="77" t="str">
        <f>IF(X33="","",IF($Y33=1,COUNTIF(入力ﾌｫｰﾑ!$U$3:$U$10,$W33)+COUNTIF(入力ﾌｫｰﾑ!$U$20:$U$27,$W33),IF($Y33=2,"")))</f>
        <v/>
      </c>
      <c r="AA33" s="77" t="str">
        <f>IF(Y33="","",IF($Y33=2,COUNTIF(入力ﾌｫｰﾑ!$U$13:$U$17,$W33)+COUNTIF(入力ﾌｫｰﾑ!$U$30:$U$37,$W33),IF($Y33=1,"")))</f>
        <v/>
      </c>
    </row>
    <row r="34" spans="3:27" ht="14.25" thickBot="1" x14ac:dyDescent="0.2">
      <c r="M34" s="81"/>
      <c r="W34" s="76">
        <v>32</v>
      </c>
      <c r="X34" s="76" t="str">
        <f>IF(VLOOKUP(W34,名簿ﾏｽﾀｰ!$J$7:$Q$56,2,0)="","",VLOOKUP(W34,名簿ﾏｽﾀｰ!$J$7:$Q$56,2,0))</f>
        <v/>
      </c>
      <c r="Y34" s="77" t="str">
        <f>IF(VLOOKUP(W34,名簿ﾏｽﾀｰ!$J$7:$Q$56,7,0)="","",VLOOKUP(W34,名簿ﾏｽﾀｰ!$J$7:$Q$56,7,0))</f>
        <v/>
      </c>
      <c r="Z34" s="77" t="str">
        <f>IF(X34="","",IF($Y34=1,COUNTIF(入力ﾌｫｰﾑ!$U$3:$U$10,$W34)+COUNTIF(入力ﾌｫｰﾑ!$U$20:$U$27,$W34),IF($Y34=2,"")))</f>
        <v/>
      </c>
      <c r="AA34" s="77" t="str">
        <f>IF(Y34="","",IF($Y34=2,COUNTIF(入力ﾌｫｰﾑ!$U$13:$U$17,$W34)+COUNTIF(入力ﾌｫｰﾑ!$U$30:$U$37,$W34),IF($Y34=1,"")))</f>
        <v/>
      </c>
    </row>
    <row r="35" spans="3:27" ht="15" customHeight="1" x14ac:dyDescent="0.15">
      <c r="H35" s="340" t="s">
        <v>135</v>
      </c>
      <c r="I35" s="341"/>
      <c r="J35" s="341"/>
      <c r="K35" s="346">
        <f>L28+L33</f>
        <v>0</v>
      </c>
      <c r="L35" s="347"/>
      <c r="M35" s="348"/>
      <c r="W35" s="76">
        <v>33</v>
      </c>
      <c r="X35" s="76" t="str">
        <f>IF(VLOOKUP(W35,名簿ﾏｽﾀｰ!$J$7:$Q$56,2,0)="","",VLOOKUP(W35,名簿ﾏｽﾀｰ!$J$7:$Q$56,2,0))</f>
        <v/>
      </c>
      <c r="Y35" s="77" t="str">
        <f>IF(VLOOKUP(W35,名簿ﾏｽﾀｰ!$J$7:$Q$56,7,0)="","",VLOOKUP(W35,名簿ﾏｽﾀｰ!$J$7:$Q$56,7,0))</f>
        <v/>
      </c>
      <c r="Z35" s="77" t="str">
        <f>IF(X35="","",IF($Y35=1,COUNTIF(入力ﾌｫｰﾑ!$U$3:$U$10,$W35)+COUNTIF(入力ﾌｫｰﾑ!$U$20:$U$27,$W35),IF($Y35=2,"")))</f>
        <v/>
      </c>
      <c r="AA35" s="77" t="str">
        <f>IF(Y35="","",IF($Y35=2,COUNTIF(入力ﾌｫｰﾑ!$U$13:$U$17,$W35)+COUNTIF(入力ﾌｫｰﾑ!$U$30:$U$37,$W35),IF($Y35=1,"")))</f>
        <v/>
      </c>
    </row>
    <row r="36" spans="3:27" x14ac:dyDescent="0.15">
      <c r="H36" s="342"/>
      <c r="I36" s="343"/>
      <c r="J36" s="343"/>
      <c r="K36" s="349"/>
      <c r="L36" s="349"/>
      <c r="M36" s="350"/>
      <c r="W36" s="76">
        <v>34</v>
      </c>
      <c r="X36" s="76" t="str">
        <f>IF(VLOOKUP(W36,名簿ﾏｽﾀｰ!$J$7:$Q$56,2,0)="","",VLOOKUP(W36,名簿ﾏｽﾀｰ!$J$7:$Q$56,2,0))</f>
        <v/>
      </c>
      <c r="Y36" s="77" t="str">
        <f>IF(VLOOKUP(W36,名簿ﾏｽﾀｰ!$J$7:$Q$56,7,0)="","",VLOOKUP(W36,名簿ﾏｽﾀｰ!$J$7:$Q$56,7,0))</f>
        <v/>
      </c>
      <c r="Z36" s="77" t="str">
        <f>IF(X36="","",IF($Y36=1,COUNTIF(入力ﾌｫｰﾑ!$U$3:$U$10,$W36)+COUNTIF(入力ﾌｫｰﾑ!$U$20:$U$27,$W36),IF($Y36=2,"")))</f>
        <v/>
      </c>
      <c r="AA36" s="77" t="str">
        <f>IF(Y36="","",IF($Y36=2,COUNTIF(入力ﾌｫｰﾑ!$U$13:$U$17,$W36)+COUNTIF(入力ﾌｫｰﾑ!$U$30:$U$37,$W36),IF($Y36=1,"")))</f>
        <v/>
      </c>
    </row>
    <row r="37" spans="3:27" ht="14.25" thickBot="1" x14ac:dyDescent="0.2">
      <c r="H37" s="344"/>
      <c r="I37" s="345"/>
      <c r="J37" s="345"/>
      <c r="K37" s="351"/>
      <c r="L37" s="351"/>
      <c r="M37" s="352"/>
      <c r="W37" s="76">
        <v>35</v>
      </c>
      <c r="X37" s="76" t="str">
        <f>IF(VLOOKUP(W37,名簿ﾏｽﾀｰ!$J$7:$Q$56,2,0)="","",VLOOKUP(W37,名簿ﾏｽﾀｰ!$J$7:$Q$56,2,0))</f>
        <v/>
      </c>
      <c r="Y37" s="77" t="str">
        <f>IF(VLOOKUP(W37,名簿ﾏｽﾀｰ!$J$7:$Q$56,7,0)="","",VLOOKUP(W37,名簿ﾏｽﾀｰ!$J$7:$Q$56,7,0))</f>
        <v/>
      </c>
      <c r="Z37" s="77" t="str">
        <f>IF(X37="","",IF($Y37=1,COUNTIF(入力ﾌｫｰﾑ!$U$3:$U$10,$W37)+COUNTIF(入力ﾌｫｰﾑ!$U$20:$U$27,$W37),IF($Y37=2,"")))</f>
        <v/>
      </c>
      <c r="AA37" s="77" t="str">
        <f>IF(Y37="","",IF($Y37=2,COUNTIF(入力ﾌｫｰﾑ!$U$13:$U$17,$W37)+COUNTIF(入力ﾌｫｰﾑ!$U$30:$U$37,$W37),IF($Y37=1,"")))</f>
        <v/>
      </c>
    </row>
    <row r="38" spans="3:27" x14ac:dyDescent="0.15">
      <c r="W38" s="76">
        <v>36</v>
      </c>
      <c r="X38" s="76" t="str">
        <f>IF(VLOOKUP(W38,名簿ﾏｽﾀｰ!$J$7:$Q$56,2,0)="","",VLOOKUP(W38,名簿ﾏｽﾀｰ!$J$7:$Q$56,2,0))</f>
        <v/>
      </c>
      <c r="Y38" s="77" t="str">
        <f>IF(VLOOKUP(W38,名簿ﾏｽﾀｰ!$J$7:$Q$56,7,0)="","",VLOOKUP(W38,名簿ﾏｽﾀｰ!$J$7:$Q$56,7,0))</f>
        <v/>
      </c>
      <c r="Z38" s="77" t="str">
        <f>IF(X38="","",IF($Y38=1,COUNTIF(入力ﾌｫｰﾑ!$U$3:$U$10,$W38)+COUNTIF(入力ﾌｫｰﾑ!$U$20:$U$27,$W38),IF($Y38=2,"")))</f>
        <v/>
      </c>
      <c r="AA38" s="77" t="str">
        <f>IF(Y38="","",IF($Y38=2,COUNTIF(入力ﾌｫｰﾑ!$U$13:$U$17,$W38)+COUNTIF(入力ﾌｫｰﾑ!$U$30:$U$37,$W38),IF($Y38=1,"")))</f>
        <v/>
      </c>
    </row>
    <row r="39" spans="3:27" x14ac:dyDescent="0.15">
      <c r="F39" s="322" t="s">
        <v>136</v>
      </c>
      <c r="G39" s="266"/>
      <c r="H39" s="325">
        <f>メインシート!$H$13</f>
        <v>0</v>
      </c>
      <c r="I39" s="326"/>
      <c r="J39" s="326"/>
      <c r="K39" s="326"/>
      <c r="L39" s="326"/>
      <c r="M39" s="327"/>
      <c r="W39" s="76">
        <v>37</v>
      </c>
      <c r="X39" s="76" t="str">
        <f>IF(VLOOKUP(W39,名簿ﾏｽﾀｰ!$J$7:$Q$56,2,0)="","",VLOOKUP(W39,名簿ﾏｽﾀｰ!$J$7:$Q$56,2,0))</f>
        <v/>
      </c>
      <c r="Y39" s="77" t="str">
        <f>IF(VLOOKUP(W39,名簿ﾏｽﾀｰ!$J$7:$Q$56,7,0)="","",VLOOKUP(W39,名簿ﾏｽﾀｰ!$J$7:$Q$56,7,0))</f>
        <v/>
      </c>
      <c r="Z39" s="77" t="str">
        <f>IF(X39="","",IF($Y39=1,COUNTIF(入力ﾌｫｰﾑ!$U$3:$U$10,$W39)+COUNTIF(入力ﾌｫｰﾑ!$U$20:$U$27,$W39),IF($Y39=2,"")))</f>
        <v/>
      </c>
      <c r="AA39" s="77" t="str">
        <f>IF(Y39="","",IF($Y39=2,COUNTIF(入力ﾌｫｰﾑ!$U$13:$U$17,$W39)+COUNTIF(入力ﾌｫｰﾑ!$U$30:$U$37,$W39),IF($Y39=1,"")))</f>
        <v/>
      </c>
    </row>
    <row r="40" spans="3:27" ht="31.5" customHeight="1" x14ac:dyDescent="0.15">
      <c r="F40" s="323"/>
      <c r="G40" s="324"/>
      <c r="H40" s="328"/>
      <c r="I40" s="329"/>
      <c r="J40" s="329"/>
      <c r="K40" s="329"/>
      <c r="L40" s="329"/>
      <c r="M40" s="330"/>
      <c r="W40" s="76">
        <v>38</v>
      </c>
      <c r="X40" s="76" t="str">
        <f>IF(VLOOKUP(W40,名簿ﾏｽﾀｰ!$J$7:$Q$56,2,0)="","",VLOOKUP(W40,名簿ﾏｽﾀｰ!$J$7:$Q$56,2,0))</f>
        <v/>
      </c>
      <c r="Y40" s="77" t="str">
        <f>IF(VLOOKUP(W40,名簿ﾏｽﾀｰ!$J$7:$Q$56,7,0)="","",VLOOKUP(W40,名簿ﾏｽﾀｰ!$J$7:$Q$56,7,0))</f>
        <v/>
      </c>
      <c r="Z40" s="77" t="str">
        <f>IF(X40="","",IF($Y40=1,COUNTIF(入力ﾌｫｰﾑ!$U$3:$U$10,$W40)+COUNTIF(入力ﾌｫｰﾑ!$U$20:$U$27,$W40),IF($Y40=2,"")))</f>
        <v/>
      </c>
      <c r="AA40" s="77" t="str">
        <f>IF(Y40="","",IF($Y40=2,COUNTIF(入力ﾌｫｰﾑ!$U$13:$U$17,$W40)+COUNTIF(入力ﾌｫｰﾑ!$U$30:$U$37,$W40),IF($Y40=1,"")))</f>
        <v/>
      </c>
    </row>
    <row r="41" spans="3:27" ht="21" customHeight="1" thickBot="1" x14ac:dyDescent="0.2">
      <c r="C41" s="331" t="s">
        <v>137</v>
      </c>
      <c r="D41" s="315"/>
      <c r="W41" s="76">
        <v>39</v>
      </c>
      <c r="X41" s="76" t="str">
        <f>IF(VLOOKUP(W41,名簿ﾏｽﾀｰ!$J$7:$Q$56,2,0)="","",VLOOKUP(W41,名簿ﾏｽﾀｰ!$J$7:$Q$56,2,0))</f>
        <v/>
      </c>
      <c r="Y41" s="77" t="str">
        <f>IF(VLOOKUP(W41,名簿ﾏｽﾀｰ!$J$7:$Q$56,7,0)="","",VLOOKUP(W41,名簿ﾏｽﾀｰ!$J$7:$Q$56,7,0))</f>
        <v/>
      </c>
      <c r="Z41" s="77" t="str">
        <f>IF(X41="","",IF($Y41=1,COUNTIF(入力ﾌｫｰﾑ!$U$3:$U$10,$W41)+COUNTIF(入力ﾌｫｰﾑ!$U$20:$U$27,$W41),IF($Y41=2,"")))</f>
        <v/>
      </c>
      <c r="AA41" s="77" t="str">
        <f>IF(Y41="","",IF($Y41=2,COUNTIF(入力ﾌｫｰﾑ!$U$13:$U$17,$W41)+COUNTIF(入力ﾌｫｰﾑ!$U$30:$U$37,$W41),IF($Y41=1,"")))</f>
        <v/>
      </c>
    </row>
    <row r="42" spans="3:27" ht="31.5" customHeight="1" x14ac:dyDescent="0.15">
      <c r="C42" s="239" t="s">
        <v>185</v>
      </c>
      <c r="D42" s="240"/>
      <c r="E42" s="83"/>
      <c r="F42" s="84" t="str">
        <f>R42</f>
        <v>みずほ銀行　東武支店</v>
      </c>
      <c r="G42" s="83"/>
      <c r="H42" s="83"/>
      <c r="I42" s="83"/>
      <c r="J42" s="83"/>
      <c r="K42" s="83"/>
      <c r="L42" s="83"/>
      <c r="M42" s="85"/>
      <c r="N42" s="86"/>
      <c r="O42" s="86"/>
      <c r="P42" s="86"/>
      <c r="Q42" s="87" t="s">
        <v>182</v>
      </c>
      <c r="R42" s="88" t="s">
        <v>209</v>
      </c>
      <c r="S42" s="89"/>
      <c r="T42" s="90"/>
      <c r="U42" s="91"/>
      <c r="W42" s="76">
        <v>40</v>
      </c>
      <c r="X42" s="76" t="str">
        <f>IF(VLOOKUP(W42,名簿ﾏｽﾀｰ!$J$7:$Q$56,2,0)="","",VLOOKUP(W42,名簿ﾏｽﾀｰ!$J$7:$Q$56,2,0))</f>
        <v/>
      </c>
      <c r="Y42" s="77" t="str">
        <f>IF(VLOOKUP(W42,名簿ﾏｽﾀｰ!$J$7:$Q$56,7,0)="","",VLOOKUP(W42,名簿ﾏｽﾀｰ!$J$7:$Q$56,7,0))</f>
        <v/>
      </c>
      <c r="Z42" s="77" t="str">
        <f>IF(X42="","",IF($Y42=1,COUNTIF(入力ﾌｫｰﾑ!$U$3:$U$10,$W42)+COUNTIF(入力ﾌｫｰﾑ!$U$20:$U$27,$W42),IF($Y42=2,"")))</f>
        <v/>
      </c>
      <c r="AA42" s="77" t="str">
        <f>IF(Y42="","",IF($Y42=2,COUNTIF(入力ﾌｫｰﾑ!$U$13:$U$17,$W42)+COUNTIF(入力ﾌｫｰﾑ!$U$30:$U$37,$W42),IF($Y42=1,"")))</f>
        <v/>
      </c>
    </row>
    <row r="43" spans="3:27" ht="31.5" customHeight="1" x14ac:dyDescent="0.15">
      <c r="C43" s="237" t="s">
        <v>183</v>
      </c>
      <c r="D43" s="238"/>
      <c r="E43" s="92"/>
      <c r="F43" s="93" t="str">
        <f t="shared" ref="F43:F44" si="0">R43</f>
        <v>当座預金　　９７５８００３</v>
      </c>
      <c r="G43" s="92"/>
      <c r="H43" s="92"/>
      <c r="I43" s="92"/>
      <c r="J43" s="92"/>
      <c r="K43" s="92"/>
      <c r="L43" s="92"/>
      <c r="M43" s="94"/>
      <c r="N43" s="86"/>
      <c r="O43" s="86"/>
      <c r="P43" s="86"/>
      <c r="Q43" s="87" t="s">
        <v>183</v>
      </c>
      <c r="R43" s="88" t="s">
        <v>210</v>
      </c>
      <c r="S43" s="89"/>
      <c r="T43" s="90"/>
      <c r="U43" s="91"/>
      <c r="W43" s="76">
        <v>41</v>
      </c>
      <c r="X43" s="76" t="str">
        <f>IF(VLOOKUP(W43,名簿ﾏｽﾀｰ!$J$7:$Q$56,2,0)="","",VLOOKUP(W43,名簿ﾏｽﾀｰ!$J$7:$Q$56,2,0))</f>
        <v/>
      </c>
      <c r="Y43" s="77" t="str">
        <f>IF(VLOOKUP(W43,名簿ﾏｽﾀｰ!$J$7:$Q$56,7,0)="","",VLOOKUP(W43,名簿ﾏｽﾀｰ!$J$7:$Q$56,7,0))</f>
        <v/>
      </c>
      <c r="Z43" s="77" t="str">
        <f>IF(X43="","",IF($Y43=1,COUNTIF(入力ﾌｫｰﾑ!$U$3:$U$10,$W43)+COUNTIF(入力ﾌｫｰﾑ!$U$20:$U$27,$W43),IF($Y43=2,"")))</f>
        <v/>
      </c>
      <c r="AA43" s="77" t="str">
        <f>IF(Y43="","",IF($Y43=2,COUNTIF(入力ﾌｫｰﾑ!$U$13:$U$17,$W43)+COUNTIF(入力ﾌｫｰﾑ!$U$30:$U$37,$W43),IF($Y43=1,"")))</f>
        <v/>
      </c>
    </row>
    <row r="44" spans="3:27" ht="31.5" customHeight="1" thickBot="1" x14ac:dyDescent="0.2">
      <c r="C44" s="235" t="s">
        <v>186</v>
      </c>
      <c r="D44" s="236"/>
      <c r="E44" s="95"/>
      <c r="F44" s="96" t="str">
        <f t="shared" si="0"/>
        <v>東武トップツアーズ株式会社</v>
      </c>
      <c r="G44" s="95"/>
      <c r="H44" s="95"/>
      <c r="I44" s="95"/>
      <c r="J44" s="95"/>
      <c r="K44" s="95"/>
      <c r="L44" s="95"/>
      <c r="M44" s="97"/>
      <c r="N44" s="86"/>
      <c r="O44" s="86"/>
      <c r="P44" s="86"/>
      <c r="Q44" s="87" t="s">
        <v>184</v>
      </c>
      <c r="R44" s="88" t="s">
        <v>211</v>
      </c>
      <c r="S44" s="89"/>
      <c r="T44" s="90"/>
      <c r="U44" s="91"/>
      <c r="W44" s="76">
        <v>42</v>
      </c>
      <c r="X44" s="76" t="str">
        <f>IF(VLOOKUP(W44,名簿ﾏｽﾀｰ!$J$7:$Q$56,2,0)="","",VLOOKUP(W44,名簿ﾏｽﾀｰ!$J$7:$Q$56,2,0))</f>
        <v/>
      </c>
      <c r="Y44" s="77" t="str">
        <f>IF(VLOOKUP(W44,名簿ﾏｽﾀｰ!$J$7:$Q$56,7,0)="","",VLOOKUP(W44,名簿ﾏｽﾀｰ!$J$7:$Q$56,7,0))</f>
        <v/>
      </c>
      <c r="Z44" s="77" t="str">
        <f>IF(X44="","",IF($Y44=1,COUNTIF(入力ﾌｫｰﾑ!$U$3:$U$10,$W44)+COUNTIF(入力ﾌｫｰﾑ!$U$20:$U$27,$W44),IF($Y44=2,"")))</f>
        <v/>
      </c>
      <c r="AA44" s="77" t="str">
        <f>IF(Y44="","",IF($Y44=2,COUNTIF(入力ﾌｫｰﾑ!$U$13:$U$17,$W44)+COUNTIF(入力ﾌｫｰﾑ!$U$30:$U$37,$W44),IF($Y44=1,"")))</f>
        <v/>
      </c>
    </row>
    <row r="45" spans="3:27" ht="24" customHeight="1" x14ac:dyDescent="0.15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8"/>
      <c r="W45" s="76">
        <v>43</v>
      </c>
      <c r="X45" s="76" t="str">
        <f>IF(VLOOKUP(W45,名簿ﾏｽﾀｰ!$J$7:$Q$56,2,0)="","",VLOOKUP(W45,名簿ﾏｽﾀｰ!$J$7:$Q$56,2,0))</f>
        <v/>
      </c>
      <c r="Y45" s="77" t="str">
        <f>IF(VLOOKUP(W45,名簿ﾏｽﾀｰ!$J$7:$Q$56,7,0)="","",VLOOKUP(W45,名簿ﾏｽﾀｰ!$J$7:$Q$56,7,0))</f>
        <v/>
      </c>
      <c r="Z45" s="77" t="str">
        <f>IF(X45="","",IF($Y45=1,COUNTIF(入力ﾌｫｰﾑ!$U$3:$U$10,$W45)+COUNTIF(入力ﾌｫｰﾑ!$U$20:$U$27,$W45),IF($Y45=2,"")))</f>
        <v/>
      </c>
      <c r="AA45" s="77" t="str">
        <f>IF(Y45="","",IF($Y45=2,COUNTIF(入力ﾌｫｰﾑ!$U$13:$U$17,$W45)+COUNTIF(入力ﾌｫｰﾑ!$U$30:$U$37,$W45),IF($Y45=1,"")))</f>
        <v/>
      </c>
    </row>
    <row r="46" spans="3:27" ht="24" customHeight="1" x14ac:dyDescent="0.15">
      <c r="C46" s="92"/>
      <c r="D46" s="92"/>
      <c r="E46" s="92"/>
      <c r="F46" s="92"/>
      <c r="G46" s="92"/>
      <c r="H46" s="92"/>
      <c r="I46" s="92"/>
      <c r="J46" s="92"/>
      <c r="K46" s="92"/>
      <c r="L46" s="92"/>
      <c r="W46" s="76">
        <v>44</v>
      </c>
      <c r="X46" s="76" t="str">
        <f>IF(VLOOKUP(W46,名簿ﾏｽﾀｰ!$J$7:$Q$56,2,0)="","",VLOOKUP(W46,名簿ﾏｽﾀｰ!$J$7:$Q$56,2,0))</f>
        <v/>
      </c>
      <c r="Y46" s="77" t="str">
        <f>IF(VLOOKUP(W46,名簿ﾏｽﾀｰ!$J$7:$Q$56,7,0)="","",VLOOKUP(W46,名簿ﾏｽﾀｰ!$J$7:$Q$56,7,0))</f>
        <v/>
      </c>
      <c r="Z46" s="77" t="str">
        <f>IF(X46="","",IF($Y46=1,COUNTIF(入力ﾌｫｰﾑ!$U$3:$U$10,$W46)+COUNTIF(入力ﾌｫｰﾑ!$U$20:$U$27,$W46),IF($Y46=2,"")))</f>
        <v/>
      </c>
      <c r="AA46" s="77" t="str">
        <f>IF(Y46="","",IF($Y46=2,COUNTIF(入力ﾌｫｰﾑ!$U$13:$U$17,$W46)+COUNTIF(入力ﾌｫｰﾑ!$U$30:$U$37,$W46),IF($Y46=1,"")))</f>
        <v/>
      </c>
    </row>
    <row r="47" spans="3:27" ht="14.25" customHeight="1" x14ac:dyDescent="0.15">
      <c r="C47" s="92"/>
      <c r="D47" s="92"/>
      <c r="E47" s="92"/>
      <c r="F47" s="92"/>
      <c r="G47" s="92"/>
      <c r="H47" s="92"/>
      <c r="I47" s="92"/>
      <c r="J47" s="92"/>
      <c r="K47" s="92"/>
      <c r="L47" s="92"/>
      <c r="W47" s="76">
        <v>45</v>
      </c>
      <c r="X47" s="76" t="str">
        <f>IF(VLOOKUP(W47,名簿ﾏｽﾀｰ!$J$7:$Q$56,2,0)="","",VLOOKUP(W47,名簿ﾏｽﾀｰ!$J$7:$Q$56,2,0))</f>
        <v/>
      </c>
      <c r="Y47" s="77" t="str">
        <f>IF(VLOOKUP(W47,名簿ﾏｽﾀｰ!$J$7:$Q$56,7,0)="","",VLOOKUP(W47,名簿ﾏｽﾀｰ!$J$7:$Q$56,7,0))</f>
        <v/>
      </c>
      <c r="Z47" s="77" t="str">
        <f>IF(X47="","",IF($Y47=1,COUNTIF(入力ﾌｫｰﾑ!$U$3:$U$10,$W47)+COUNTIF(入力ﾌｫｰﾑ!$U$20:$U$27,$W47),IF($Y47=2,"")))</f>
        <v/>
      </c>
      <c r="AA47" s="77" t="str">
        <f>IF(Y47="","",IF($Y47=2,COUNTIF(入力ﾌｫｰﾑ!$U$13:$U$17,$W47)+COUNTIF(入力ﾌｫｰﾑ!$U$30:$U$37,$W47),IF($Y47=1,"")))</f>
        <v/>
      </c>
    </row>
    <row r="48" spans="3:27" x14ac:dyDescent="0.15">
      <c r="W48" s="76">
        <v>46</v>
      </c>
      <c r="X48" s="76" t="str">
        <f>IF(VLOOKUP(W48,名簿ﾏｽﾀｰ!$J$7:$Q$56,2,0)="","",VLOOKUP(W48,名簿ﾏｽﾀｰ!$J$7:$Q$56,2,0))</f>
        <v/>
      </c>
      <c r="Y48" s="77" t="str">
        <f>IF(VLOOKUP(W48,名簿ﾏｽﾀｰ!$J$7:$Q$56,7,0)="","",VLOOKUP(W48,名簿ﾏｽﾀｰ!$J$7:$Q$56,7,0))</f>
        <v/>
      </c>
      <c r="Z48" s="77" t="str">
        <f>IF(X48="","",IF($Y48=1,COUNTIF(入力ﾌｫｰﾑ!$U$3:$U$10,$W48)+COUNTIF(入力ﾌｫｰﾑ!$U$20:$U$27,$W48),IF($Y48=2,"")))</f>
        <v/>
      </c>
      <c r="AA48" s="77" t="str">
        <f>IF(Y48="","",IF($Y48=2,COUNTIF(入力ﾌｫｰﾑ!$U$13:$U$17,$W48)+COUNTIF(入力ﾌｫｰﾑ!$U$30:$U$37,$W48),IF($Y48=1,"")))</f>
        <v/>
      </c>
    </row>
    <row r="49" spans="23:27" x14ac:dyDescent="0.15">
      <c r="W49" s="76">
        <v>47</v>
      </c>
      <c r="X49" s="76" t="str">
        <f>IF(VLOOKUP(W49,名簿ﾏｽﾀｰ!$J$7:$Q$56,2,0)="","",VLOOKUP(W49,名簿ﾏｽﾀｰ!$J$7:$Q$56,2,0))</f>
        <v/>
      </c>
      <c r="Y49" s="77" t="str">
        <f>IF(VLOOKUP(W49,名簿ﾏｽﾀｰ!$J$7:$Q$56,7,0)="","",VLOOKUP(W49,名簿ﾏｽﾀｰ!$J$7:$Q$56,7,0))</f>
        <v/>
      </c>
      <c r="Z49" s="77" t="str">
        <f>IF(X49="","",IF($Y49=1,COUNTIF(入力ﾌｫｰﾑ!$U$3:$U$10,$W49)+COUNTIF(入力ﾌｫｰﾑ!$U$20:$U$27,$W49),IF($Y49=2,"")))</f>
        <v/>
      </c>
      <c r="AA49" s="77" t="str">
        <f>IF(Y49="","",IF($Y49=2,COUNTIF(入力ﾌｫｰﾑ!$U$13:$U$17,$W49)+COUNTIF(入力ﾌｫｰﾑ!$U$30:$U$37,$W49),IF($Y49=1,"")))</f>
        <v/>
      </c>
    </row>
    <row r="50" spans="23:27" x14ac:dyDescent="0.15">
      <c r="W50" s="76">
        <v>48</v>
      </c>
      <c r="X50" s="76" t="str">
        <f>IF(VLOOKUP(W50,名簿ﾏｽﾀｰ!$J$7:$Q$56,2,0)="","",VLOOKUP(W50,名簿ﾏｽﾀｰ!$J$7:$Q$56,2,0))</f>
        <v/>
      </c>
      <c r="Y50" s="77" t="str">
        <f>IF(VLOOKUP(W50,名簿ﾏｽﾀｰ!$J$7:$Q$56,7,0)="","",VLOOKUP(W50,名簿ﾏｽﾀｰ!$J$7:$Q$56,7,0))</f>
        <v/>
      </c>
      <c r="Z50" s="77" t="str">
        <f>IF(X50="","",IF($Y50=1,COUNTIF(入力ﾌｫｰﾑ!$U$3:$U$10,$W50)+COUNTIF(入力ﾌｫｰﾑ!$U$20:$U$27,$W50),IF($Y50=2,"")))</f>
        <v/>
      </c>
      <c r="AA50" s="77" t="str">
        <f>IF(Y50="","",IF($Y50=2,COUNTIF(入力ﾌｫｰﾑ!$U$13:$U$17,$W50)+COUNTIF(入力ﾌｫｰﾑ!$U$30:$U$37,$W50),IF($Y50=1,"")))</f>
        <v/>
      </c>
    </row>
    <row r="51" spans="23:27" x14ac:dyDescent="0.15">
      <c r="W51" s="76">
        <v>49</v>
      </c>
      <c r="X51" s="76" t="str">
        <f>IF(VLOOKUP(W51,名簿ﾏｽﾀｰ!$J$7:$Q$56,2,0)="","",VLOOKUP(W51,名簿ﾏｽﾀｰ!$J$7:$Q$56,2,0))</f>
        <v/>
      </c>
      <c r="Y51" s="77" t="str">
        <f>IF(VLOOKUP(W51,名簿ﾏｽﾀｰ!$J$7:$Q$56,7,0)="","",VLOOKUP(W51,名簿ﾏｽﾀｰ!$J$7:$Q$56,7,0))</f>
        <v/>
      </c>
      <c r="Z51" s="77" t="str">
        <f>IF(X51="","",IF($Y51=1,COUNTIF(入力ﾌｫｰﾑ!$U$3:$U$10,$W51)+COUNTIF(入力ﾌｫｰﾑ!$U$20:$U$27,$W51),IF($Y51=2,"")))</f>
        <v/>
      </c>
      <c r="AA51" s="77" t="str">
        <f>IF(Y51="","",IF($Y51=2,COUNTIF(入力ﾌｫｰﾑ!$U$13:$U$17,$W51)+COUNTIF(入力ﾌｫｰﾑ!$U$30:$U$37,$W51),IF($Y51=1,"")))</f>
        <v/>
      </c>
    </row>
    <row r="52" spans="23:27" x14ac:dyDescent="0.15">
      <c r="W52" s="76">
        <v>50</v>
      </c>
      <c r="X52" s="76" t="str">
        <f>IF(VLOOKUP(W52,名簿ﾏｽﾀｰ!$J$7:$Q$56,2,0)="","",VLOOKUP(W52,名簿ﾏｽﾀｰ!$J$7:$Q$56,2,0))</f>
        <v/>
      </c>
      <c r="Y52" s="77" t="str">
        <f>IF(VLOOKUP(W52,名簿ﾏｽﾀｰ!$J$7:$Q$56,7,0)="","",VLOOKUP(W52,名簿ﾏｽﾀｰ!$J$7:$Q$56,7,0))</f>
        <v/>
      </c>
      <c r="Z52" s="77" t="str">
        <f>IF(X52="","",IF($Y52=1,COUNTIF(入力ﾌｫｰﾑ!$U$3:$U$10,$W52)+COUNTIF(入力ﾌｫｰﾑ!$U$20:$U$27,$W52),IF($Y52=2,"")))</f>
        <v/>
      </c>
      <c r="AA52" s="77" t="str">
        <f>IF(Y52="","",IF($Y52=2,COUNTIF(入力ﾌｫｰﾑ!$U$13:$U$17,$W52)+COUNTIF(入力ﾌｫｰﾑ!$U$30:$U$37,$W52),IF($Y52=1,"")))</f>
        <v/>
      </c>
    </row>
  </sheetData>
  <sheetProtection sheet="1" objects="1" scenarios="1"/>
  <mergeCells count="55">
    <mergeCell ref="F39:G40"/>
    <mergeCell ref="H39:M40"/>
    <mergeCell ref="C41:D41"/>
    <mergeCell ref="C33:F33"/>
    <mergeCell ref="G33:H33"/>
    <mergeCell ref="J33:K33"/>
    <mergeCell ref="L33:M33"/>
    <mergeCell ref="H35:J37"/>
    <mergeCell ref="K35:M37"/>
    <mergeCell ref="H28:H31"/>
    <mergeCell ref="I28:I31"/>
    <mergeCell ref="J28:J31"/>
    <mergeCell ref="K28:K31"/>
    <mergeCell ref="L28:M31"/>
    <mergeCell ref="C28:C31"/>
    <mergeCell ref="D28:D31"/>
    <mergeCell ref="E28:E31"/>
    <mergeCell ref="F28:F31"/>
    <mergeCell ref="G28:G31"/>
    <mergeCell ref="H24:H27"/>
    <mergeCell ref="I24:I27"/>
    <mergeCell ref="J24:J27"/>
    <mergeCell ref="K24:K27"/>
    <mergeCell ref="L24:M27"/>
    <mergeCell ref="C24:C27"/>
    <mergeCell ref="D24:D27"/>
    <mergeCell ref="E24:E27"/>
    <mergeCell ref="F24:F27"/>
    <mergeCell ref="G24:G27"/>
    <mergeCell ref="H20:H23"/>
    <mergeCell ref="I20:I23"/>
    <mergeCell ref="J20:J23"/>
    <mergeCell ref="K20:K23"/>
    <mergeCell ref="L20:M23"/>
    <mergeCell ref="C20:C23"/>
    <mergeCell ref="D20:D23"/>
    <mergeCell ref="E20:E23"/>
    <mergeCell ref="F20:F23"/>
    <mergeCell ref="G20:G23"/>
    <mergeCell ref="C44:D44"/>
    <mergeCell ref="C43:D43"/>
    <mergeCell ref="C42:D42"/>
    <mergeCell ref="B2:N3"/>
    <mergeCell ref="C7:M8"/>
    <mergeCell ref="C10:E11"/>
    <mergeCell ref="F10:M11"/>
    <mergeCell ref="C12:E13"/>
    <mergeCell ref="F12:M13"/>
    <mergeCell ref="C15:M16"/>
    <mergeCell ref="C17:C19"/>
    <mergeCell ref="D17:E19"/>
    <mergeCell ref="F17:G19"/>
    <mergeCell ref="H17:I19"/>
    <mergeCell ref="J17:K19"/>
    <mergeCell ref="L17:M19"/>
  </mergeCells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89" orientation="portrait" errors="blank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65"/>
  <sheetViews>
    <sheetView zoomScaleNormal="100" zoomScaleSheetLayoutView="85" workbookViewId="0">
      <selection activeCell="Q14" sqref="Q14"/>
    </sheetView>
  </sheetViews>
  <sheetFormatPr defaultRowHeight="13.5" x14ac:dyDescent="0.15"/>
  <cols>
    <col min="1" max="1" width="11" style="135" customWidth="1"/>
    <col min="2" max="2" width="10" style="135" customWidth="1"/>
    <col min="3" max="3" width="10" style="135" customWidth="1" collapsed="1"/>
    <col min="4" max="4" width="3.75" style="135" customWidth="1"/>
    <col min="5" max="5" width="5.625" style="135" customWidth="1"/>
    <col min="6" max="6" width="12.625" style="135" customWidth="1"/>
    <col min="7" max="7" width="8.625" style="135" customWidth="1"/>
    <col min="8" max="8" width="13.625" style="135" customWidth="1"/>
    <col min="9" max="10" width="8.625" style="135" customWidth="1"/>
    <col min="11" max="11" width="10.375" style="135" customWidth="1"/>
    <col min="12" max="12" width="4.375" style="135" customWidth="1"/>
    <col min="13" max="13" width="3.625" style="135" customWidth="1"/>
    <col min="14" max="16384" width="9" style="135"/>
  </cols>
  <sheetData>
    <row r="1" spans="1:13" ht="29.25" customHeight="1" thickBot="1" x14ac:dyDescent="0.2">
      <c r="A1" s="134" t="s">
        <v>116</v>
      </c>
      <c r="C1" s="416" t="str">
        <f>DBCS(CONCATENATE(メインシート!$B$2,メインシート!$C$2,メインシート!$D$2,メインシート!$F$2," ",メインシート!B3,メインシート!C3,メインシート!D3,メインシート!F3))</f>
        <v>平成２８年度東北中学校体育大会　第３９回東北中学校柔道大会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1:13" ht="24.75" thickBot="1" x14ac:dyDescent="0.2">
      <c r="A2" s="136">
        <f>メインシート!C6</f>
        <v>0</v>
      </c>
      <c r="C2" s="417" t="s">
        <v>51</v>
      </c>
      <c r="D2" s="417"/>
      <c r="E2" s="417"/>
      <c r="F2" s="417"/>
      <c r="G2" s="417"/>
      <c r="H2" s="417"/>
      <c r="I2" s="417"/>
      <c r="J2" s="418"/>
      <c r="K2" s="417"/>
      <c r="L2" s="417"/>
      <c r="M2" s="417"/>
    </row>
    <row r="3" spans="1:13" ht="6.75" customHeight="1" thickBot="1" x14ac:dyDescent="0.2"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24.95" customHeight="1" thickBot="1" x14ac:dyDescent="0.2">
      <c r="A4" s="136">
        <f>メインシート!$C$8</f>
        <v>0</v>
      </c>
      <c r="C4" s="429" t="s">
        <v>15</v>
      </c>
      <c r="D4" s="429"/>
      <c r="E4" s="423" t="e">
        <f>VLOOKUP($A$4,メインシート!$B$13:$D$18,2,0)</f>
        <v>#N/A</v>
      </c>
      <c r="F4" s="424"/>
      <c r="G4" s="138" t="s">
        <v>16</v>
      </c>
      <c r="H4" s="425" t="s">
        <v>17</v>
      </c>
      <c r="I4" s="426"/>
      <c r="J4" s="421" t="str">
        <f>IF(入力ﾌｫｰﾑ!$D$10="","",入力ﾌｫｰﾑ!$D$10)</f>
        <v/>
      </c>
      <c r="K4" s="422"/>
      <c r="L4" s="427" t="s">
        <v>10</v>
      </c>
      <c r="M4" s="428"/>
    </row>
    <row r="5" spans="1:13" ht="17.100000000000001" customHeight="1" x14ac:dyDescent="0.15">
      <c r="C5" s="430" t="s">
        <v>42</v>
      </c>
      <c r="D5" s="431"/>
      <c r="E5" s="363">
        <f>メインシート!$H$5</f>
        <v>0</v>
      </c>
      <c r="F5" s="364"/>
      <c r="G5" s="364"/>
      <c r="H5" s="364"/>
      <c r="I5" s="364"/>
      <c r="J5" s="364"/>
      <c r="K5" s="364"/>
      <c r="L5" s="364"/>
      <c r="M5" s="365"/>
    </row>
    <row r="6" spans="1:13" ht="27" customHeight="1" x14ac:dyDescent="0.15">
      <c r="C6" s="419" t="s">
        <v>0</v>
      </c>
      <c r="D6" s="420"/>
      <c r="E6" s="360">
        <f>メインシート!$H$6</f>
        <v>0</v>
      </c>
      <c r="F6" s="361"/>
      <c r="G6" s="361"/>
      <c r="H6" s="361"/>
      <c r="I6" s="361"/>
      <c r="J6" s="361"/>
      <c r="K6" s="361"/>
      <c r="L6" s="361"/>
      <c r="M6" s="362"/>
    </row>
    <row r="7" spans="1:13" ht="36.75" customHeight="1" x14ac:dyDescent="0.15">
      <c r="C7" s="419" t="s">
        <v>39</v>
      </c>
      <c r="D7" s="420"/>
      <c r="E7" s="435" t="str">
        <f>IF(メインシート!$H$7="","",メインシート!$H$7)</f>
        <v/>
      </c>
      <c r="F7" s="436"/>
      <c r="G7" s="436"/>
      <c r="H7" s="436"/>
      <c r="I7" s="436"/>
      <c r="J7" s="436"/>
      <c r="K7" s="432" t="s">
        <v>40</v>
      </c>
      <c r="L7" s="433"/>
      <c r="M7" s="434"/>
    </row>
    <row r="8" spans="1:13" ht="27" customHeight="1" x14ac:dyDescent="0.15">
      <c r="C8" s="372" t="s">
        <v>25</v>
      </c>
      <c r="D8" s="373"/>
      <c r="E8" s="139" t="s">
        <v>43</v>
      </c>
      <c r="F8" s="140">
        <f>メインシート!$H$8</f>
        <v>0</v>
      </c>
      <c r="G8" s="141" t="s">
        <v>26</v>
      </c>
      <c r="H8" s="399">
        <f>メインシート!$H$9</f>
        <v>0</v>
      </c>
      <c r="I8" s="400"/>
      <c r="J8" s="400"/>
      <c r="K8" s="400"/>
      <c r="L8" s="400"/>
      <c r="M8" s="401"/>
    </row>
    <row r="9" spans="1:13" ht="27" customHeight="1" x14ac:dyDescent="0.15">
      <c r="C9" s="374"/>
      <c r="D9" s="375"/>
      <c r="E9" s="187" t="s">
        <v>44</v>
      </c>
      <c r="F9" s="404">
        <f>メインシート!$H$10</f>
        <v>0</v>
      </c>
      <c r="G9" s="405"/>
      <c r="H9" s="406"/>
      <c r="I9" s="141" t="s">
        <v>45</v>
      </c>
      <c r="J9" s="404">
        <f>メインシート!$H$11</f>
        <v>0</v>
      </c>
      <c r="K9" s="405"/>
      <c r="L9" s="405"/>
      <c r="M9" s="406"/>
    </row>
    <row r="10" spans="1:13" ht="17.100000000000001" customHeight="1" x14ac:dyDescent="0.15">
      <c r="C10" s="372" t="s">
        <v>27</v>
      </c>
      <c r="D10" s="373"/>
      <c r="E10" s="142" t="s">
        <v>46</v>
      </c>
      <c r="F10" s="388" t="str">
        <f>IF(F11="","",VLOOKUP(F11,入力ﾌｫｰﾑ!$C$4:$E$7,3,0))</f>
        <v/>
      </c>
      <c r="G10" s="389" t="e">
        <f>IF(#REF!="","",VLOOKUP(#REF!,入力ﾌｫｰﾑ!$C$4:$E$7,2,0))</f>
        <v>#REF!</v>
      </c>
      <c r="H10" s="389" t="str">
        <f>IF(C11="","",VLOOKUP(C11,入力ﾌｫｰﾑ!$C$4:$E$7,2,0))</f>
        <v/>
      </c>
      <c r="I10" s="390" t="str">
        <f>IF(D11="","",VLOOKUP(D11,入力ﾌｫｰﾑ!$C$4:$E$7,2,0))</f>
        <v/>
      </c>
      <c r="J10" s="415" t="s">
        <v>28</v>
      </c>
      <c r="K10" s="376" t="str">
        <f>IF(F11="","",VLOOKUP(F11,入力ﾌｫｰﾑ!$C$4:$E$7,2,0))</f>
        <v/>
      </c>
      <c r="L10" s="402"/>
      <c r="M10" s="377"/>
    </row>
    <row r="11" spans="1:13" ht="27" customHeight="1" x14ac:dyDescent="0.15">
      <c r="A11" s="135">
        <f>入力ﾌｫｰﾑ!$A$11</f>
        <v>101001</v>
      </c>
      <c r="C11" s="380"/>
      <c r="D11" s="381"/>
      <c r="E11" s="143" t="s">
        <v>29</v>
      </c>
      <c r="F11" s="391" t="str">
        <f>IF(VLOOKUP($A11,入力ﾌｫｰﾑ!$A$11:$F$27,4,0)="","",VLOOKUP($A11,入力ﾌｫｰﾑ!$A$11:$F$27,4,0))</f>
        <v/>
      </c>
      <c r="G11" s="392"/>
      <c r="H11" s="392"/>
      <c r="I11" s="393"/>
      <c r="J11" s="396"/>
      <c r="K11" s="378"/>
      <c r="L11" s="403"/>
      <c r="M11" s="379"/>
    </row>
    <row r="12" spans="1:13" ht="27" customHeight="1" x14ac:dyDescent="0.15">
      <c r="A12" s="135">
        <f>入力ﾌｫｰﾑ!$A$11</f>
        <v>101001</v>
      </c>
      <c r="C12" s="374"/>
      <c r="D12" s="375"/>
      <c r="E12" s="187" t="s">
        <v>47</v>
      </c>
      <c r="F12" s="404" t="str">
        <f>IF(VLOOKUP($A12,入力ﾌｫｰﾑ!$A$11:$F$27,5,0)="","",VLOOKUP($A12,入力ﾌｫｰﾑ!$A$11:$F$27,5,0))</f>
        <v/>
      </c>
      <c r="G12" s="405"/>
      <c r="H12" s="406"/>
      <c r="I12" s="141" t="s">
        <v>30</v>
      </c>
      <c r="J12" s="404" t="str">
        <f>IF(VLOOKUP($A12,入力ﾌｫｰﾑ!$A$11:$F$27,6,0)="","",VLOOKUP($A12,入力ﾌｫｰﾑ!$A$11:$F$27,6,0))</f>
        <v/>
      </c>
      <c r="K12" s="405"/>
      <c r="L12" s="405"/>
      <c r="M12" s="406"/>
    </row>
    <row r="13" spans="1:13" ht="17.100000000000001" customHeight="1" x14ac:dyDescent="0.15">
      <c r="C13" s="372" t="s">
        <v>41</v>
      </c>
      <c r="D13" s="373"/>
      <c r="E13" s="142" t="s">
        <v>48</v>
      </c>
      <c r="F13" s="388" t="str">
        <f>IF(F14="","",VLOOKUP(F14,入力ﾌｫｰﾑ!$C$4:$E$7,3,0))</f>
        <v/>
      </c>
      <c r="G13" s="389"/>
      <c r="H13" s="389"/>
      <c r="I13" s="390"/>
      <c r="J13" s="407" t="s">
        <v>33</v>
      </c>
      <c r="K13" s="376" t="str">
        <f>IF($F14="","",VLOOKUP($F14,メインシート!$H$13:$R$19,9,0))</f>
        <v/>
      </c>
      <c r="L13" s="402"/>
      <c r="M13" s="377"/>
    </row>
    <row r="14" spans="1:13" ht="24.95" customHeight="1" x14ac:dyDescent="0.15">
      <c r="A14" s="135">
        <f>入力ﾌｫｰﾑ!$A$12</f>
        <v>101002</v>
      </c>
      <c r="C14" s="374"/>
      <c r="D14" s="375"/>
      <c r="E14" s="143" t="s">
        <v>29</v>
      </c>
      <c r="F14" s="391" t="str">
        <f>IF(VLOOKUP($A14,入力ﾌｫｰﾑ!$A$11:$F$27,4,0)="","",VLOOKUP($A14,入力ﾌｫｰﾑ!$A$11:$F$27,4,0))</f>
        <v/>
      </c>
      <c r="G14" s="392"/>
      <c r="H14" s="392"/>
      <c r="I14" s="393"/>
      <c r="J14" s="408"/>
      <c r="K14" s="378"/>
      <c r="L14" s="403"/>
      <c r="M14" s="379"/>
    </row>
    <row r="15" spans="1:13" ht="7.5" customHeight="1" x14ac:dyDescent="0.15">
      <c r="C15" s="144"/>
      <c r="D15" s="145"/>
      <c r="E15" s="145"/>
      <c r="F15" s="145"/>
      <c r="G15" s="145"/>
      <c r="H15" s="145"/>
      <c r="I15" s="145"/>
      <c r="J15" s="145"/>
      <c r="K15" s="145"/>
      <c r="L15" s="145"/>
      <c r="M15" s="146"/>
    </row>
    <row r="16" spans="1:13" ht="17.25" customHeight="1" x14ac:dyDescent="0.15">
      <c r="C16" s="370" t="s">
        <v>1</v>
      </c>
      <c r="D16" s="355" t="s">
        <v>14</v>
      </c>
      <c r="E16" s="356"/>
      <c r="F16" s="356"/>
      <c r="G16" s="356"/>
      <c r="H16" s="357"/>
      <c r="I16" s="394" t="s">
        <v>11</v>
      </c>
      <c r="J16" s="394" t="s">
        <v>35</v>
      </c>
      <c r="K16" s="394" t="s">
        <v>34</v>
      </c>
      <c r="L16" s="409" t="s">
        <v>9</v>
      </c>
      <c r="M16" s="410"/>
    </row>
    <row r="17" spans="3:13" ht="13.5" customHeight="1" x14ac:dyDescent="0.15">
      <c r="C17" s="437"/>
      <c r="D17" s="441" t="s">
        <v>49</v>
      </c>
      <c r="E17" s="442"/>
      <c r="F17" s="442"/>
      <c r="G17" s="442"/>
      <c r="H17" s="443"/>
      <c r="I17" s="395"/>
      <c r="J17" s="395"/>
      <c r="K17" s="395"/>
      <c r="L17" s="411"/>
      <c r="M17" s="412"/>
    </row>
    <row r="18" spans="3:13" ht="17.25" customHeight="1" x14ac:dyDescent="0.15">
      <c r="C18" s="438"/>
      <c r="D18" s="444" t="s">
        <v>37</v>
      </c>
      <c r="E18" s="445"/>
      <c r="F18" s="445"/>
      <c r="G18" s="439" t="s">
        <v>38</v>
      </c>
      <c r="H18" s="440"/>
      <c r="I18" s="396"/>
      <c r="J18" s="396"/>
      <c r="K18" s="396"/>
      <c r="L18" s="413"/>
      <c r="M18" s="414"/>
    </row>
    <row r="19" spans="3:13" ht="17.100000000000001" customHeight="1" x14ac:dyDescent="0.15">
      <c r="C19" s="370" t="s">
        <v>5</v>
      </c>
      <c r="D19" s="382" t="str">
        <f>IF(VLOOKUP($C19,入力ﾌｫｰﾑ!$V$3:$AF$10,6,0)="","",VLOOKUP($C19,入力ﾌｫｰﾑ!$V$3:$AF$10,6,0))</f>
        <v/>
      </c>
      <c r="E19" s="383"/>
      <c r="F19" s="384"/>
      <c r="G19" s="358" t="str">
        <f>IF(VLOOKUP($C19,入力ﾌｫｰﾑ!$V$3:$AF$10,7,0)="","",VLOOKUP($C19,入力ﾌｫｰﾑ!$V$3:$AF$10,7,0))</f>
        <v/>
      </c>
      <c r="H19" s="359"/>
      <c r="I19" s="353" t="str">
        <f>IF(VLOOKUP($C19,入力ﾌｫｰﾑ!$V$3:$AF$10,8,0)="","",VLOOKUP($C19,入力ﾌｫｰﾑ!$V$3:$AF$10,8,0))</f>
        <v/>
      </c>
      <c r="J19" s="353" t="str">
        <f>IF(VLOOKUP($C19,入力ﾌｫｰﾑ!$V$3:$AF$10,9,0)="","",VLOOKUP($C19,入力ﾌｫｰﾑ!$V$3:$AF$10,9,0))</f>
        <v/>
      </c>
      <c r="K19" s="353" t="str">
        <f>IF(VLOOKUP($C19,入力ﾌｫｰﾑ!$V$3:$AF$10,10,0)="","",VLOOKUP($C19,入力ﾌｫｰﾑ!$V$3:$AF$10,10,0))</f>
        <v/>
      </c>
      <c r="L19" s="376" t="str">
        <f>IF(VLOOKUP($C19,入力ﾌｫｰﾑ!$V$3:$AF$10,11,0)="","",VLOOKUP($C19,入力ﾌｫｰﾑ!$V$3:$AF$10,11,0))</f>
        <v/>
      </c>
      <c r="M19" s="377"/>
    </row>
    <row r="20" spans="3:13" ht="27" customHeight="1" x14ac:dyDescent="0.15">
      <c r="C20" s="371"/>
      <c r="D20" s="385" t="str">
        <f>IF(VLOOKUP($C19,入力ﾌｫｰﾑ!$V$3:$AF$10,4,0)="","",VLOOKUP($C19,入力ﾌｫｰﾑ!$V$3:$AF$10,4,0))</f>
        <v/>
      </c>
      <c r="E20" s="386"/>
      <c r="F20" s="387"/>
      <c r="G20" s="397" t="str">
        <f>IF(VLOOKUP($C19,入力ﾌｫｰﾑ!$V$3:$AF$10,5,0)="","",VLOOKUP($C19,入力ﾌｫｰﾑ!$V$3:$AF$10,5,0))</f>
        <v/>
      </c>
      <c r="H20" s="398"/>
      <c r="I20" s="354"/>
      <c r="J20" s="354"/>
      <c r="K20" s="354"/>
      <c r="L20" s="378"/>
      <c r="M20" s="379"/>
    </row>
    <row r="21" spans="3:13" ht="17.100000000000001" customHeight="1" x14ac:dyDescent="0.15">
      <c r="C21" s="370" t="s">
        <v>61</v>
      </c>
      <c r="D21" s="382" t="str">
        <f>IF(VLOOKUP($C21,入力ﾌｫｰﾑ!$V$3:$AF$10,6,0)="","",VLOOKUP($C21,入力ﾌｫｰﾑ!$V$3:$AF$10,6,0))</f>
        <v/>
      </c>
      <c r="E21" s="383"/>
      <c r="F21" s="384"/>
      <c r="G21" s="358" t="str">
        <f>IF(VLOOKUP($C21,入力ﾌｫｰﾑ!$V$3:$AF$10,7,0)="","",VLOOKUP($C21,入力ﾌｫｰﾑ!$V$3:$AF$10,7,0))</f>
        <v/>
      </c>
      <c r="H21" s="359"/>
      <c r="I21" s="353" t="str">
        <f>IF(VLOOKUP($C21,入力ﾌｫｰﾑ!$V$3:$AF$10,8,0)="","",VLOOKUP($C21,入力ﾌｫｰﾑ!$V$3:$AF$10,8,0))</f>
        <v/>
      </c>
      <c r="J21" s="353" t="str">
        <f>IF(VLOOKUP($C21,入力ﾌｫｰﾑ!$V$3:$AF$10,9,0)="","",VLOOKUP($C21,入力ﾌｫｰﾑ!$V$3:$AF$10,9,0))</f>
        <v/>
      </c>
      <c r="K21" s="353" t="str">
        <f>IF(VLOOKUP($C21,入力ﾌｫｰﾑ!$V$3:$AF$10,10,0)="","",VLOOKUP($C21,入力ﾌｫｰﾑ!$V$3:$AF$10,10,0))</f>
        <v/>
      </c>
      <c r="L21" s="376" t="str">
        <f>IF(VLOOKUP($C21,入力ﾌｫｰﾑ!$V$3:$AF$10,11,0)="","",VLOOKUP($C21,入力ﾌｫｰﾑ!$V$3:$AF$10,11,0))</f>
        <v/>
      </c>
      <c r="M21" s="377"/>
    </row>
    <row r="22" spans="3:13" ht="27" customHeight="1" x14ac:dyDescent="0.15">
      <c r="C22" s="371"/>
      <c r="D22" s="385" t="str">
        <f>IF(VLOOKUP($C21,入力ﾌｫｰﾑ!$V$3:$AF$10,4,0)="","",VLOOKUP($C21,入力ﾌｫｰﾑ!$V$3:$AF$10,4,0))</f>
        <v/>
      </c>
      <c r="E22" s="386"/>
      <c r="F22" s="387"/>
      <c r="G22" s="397" t="str">
        <f>IF(VLOOKUP($C21,入力ﾌｫｰﾑ!$V$3:$AF$10,5,0)="","",VLOOKUP($C21,入力ﾌｫｰﾑ!$V$3:$AF$10,5,0))</f>
        <v/>
      </c>
      <c r="H22" s="398"/>
      <c r="I22" s="354"/>
      <c r="J22" s="354"/>
      <c r="K22" s="354"/>
      <c r="L22" s="378"/>
      <c r="M22" s="379"/>
    </row>
    <row r="23" spans="3:13" ht="17.100000000000001" customHeight="1" x14ac:dyDescent="0.15">
      <c r="C23" s="370" t="s">
        <v>4</v>
      </c>
      <c r="D23" s="382" t="str">
        <f>IF(VLOOKUP($C23,入力ﾌｫｰﾑ!$V$3:$AF$10,6,0)="","",VLOOKUP($C23,入力ﾌｫｰﾑ!$V$3:$AF$10,6,0))</f>
        <v/>
      </c>
      <c r="E23" s="383"/>
      <c r="F23" s="384"/>
      <c r="G23" s="358" t="str">
        <f>IF(VLOOKUP($C23,入力ﾌｫｰﾑ!$V$3:$AF$10,7,0)="","",VLOOKUP($C23,入力ﾌｫｰﾑ!$V$3:$AF$10,7,0))</f>
        <v/>
      </c>
      <c r="H23" s="359"/>
      <c r="I23" s="353" t="str">
        <f>IF(VLOOKUP($C23,入力ﾌｫｰﾑ!$V$3:$AF$10,8,0)="","",VLOOKUP($C23,入力ﾌｫｰﾑ!$V$3:$AF$10,8,0))</f>
        <v/>
      </c>
      <c r="J23" s="353" t="str">
        <f>IF(VLOOKUP($C23,入力ﾌｫｰﾑ!$V$3:$AF$10,9,0)="","",VLOOKUP($C23,入力ﾌｫｰﾑ!$V$3:$AF$10,9,0))</f>
        <v/>
      </c>
      <c r="K23" s="353" t="str">
        <f>IF(VLOOKUP($C23,入力ﾌｫｰﾑ!$V$3:$AF$10,10,0)="","",VLOOKUP($C23,入力ﾌｫｰﾑ!$V$3:$AF$10,10,0))</f>
        <v/>
      </c>
      <c r="L23" s="376" t="str">
        <f>IF(VLOOKUP($C23,入力ﾌｫｰﾑ!$V$3:$AF$10,11,0)="","",VLOOKUP($C23,入力ﾌｫｰﾑ!$V$3:$AF$10,11,0))</f>
        <v/>
      </c>
      <c r="M23" s="377"/>
    </row>
    <row r="24" spans="3:13" ht="27" customHeight="1" x14ac:dyDescent="0.15">
      <c r="C24" s="371"/>
      <c r="D24" s="385" t="str">
        <f>IF(VLOOKUP($C23,入力ﾌｫｰﾑ!$V$3:$AF$10,4,0)="","",VLOOKUP($C23,入力ﾌｫｰﾑ!$V$3:$AF$10,4,0))</f>
        <v/>
      </c>
      <c r="E24" s="386"/>
      <c r="F24" s="387"/>
      <c r="G24" s="397" t="str">
        <f>IF(VLOOKUP($C23,入力ﾌｫｰﾑ!$V$3:$AF$10,5,0)="","",VLOOKUP($C23,入力ﾌｫｰﾑ!$V$3:$AF$10,5,0))</f>
        <v/>
      </c>
      <c r="H24" s="398"/>
      <c r="I24" s="354"/>
      <c r="J24" s="354"/>
      <c r="K24" s="354"/>
      <c r="L24" s="378"/>
      <c r="M24" s="379"/>
    </row>
    <row r="25" spans="3:13" ht="17.100000000000001" customHeight="1" x14ac:dyDescent="0.15">
      <c r="C25" s="370" t="s">
        <v>3</v>
      </c>
      <c r="D25" s="382" t="str">
        <f>IF(VLOOKUP($C25,入力ﾌｫｰﾑ!$V$3:$AF$10,6,0)="","",VLOOKUP($C25,入力ﾌｫｰﾑ!$V$3:$AF$10,6,0))</f>
        <v/>
      </c>
      <c r="E25" s="383"/>
      <c r="F25" s="384"/>
      <c r="G25" s="358" t="str">
        <f>IF(VLOOKUP($C25,入力ﾌｫｰﾑ!$V$3:$AF$10,7,0)="","",VLOOKUP($C25,入力ﾌｫｰﾑ!$V$3:$AF$10,7,0))</f>
        <v/>
      </c>
      <c r="H25" s="359"/>
      <c r="I25" s="353" t="str">
        <f>IF(VLOOKUP($C25,入力ﾌｫｰﾑ!$V$3:$AF$10,8,0)="","",VLOOKUP($C25,入力ﾌｫｰﾑ!$V$3:$AF$10,8,0))</f>
        <v/>
      </c>
      <c r="J25" s="353" t="str">
        <f>IF(VLOOKUP($C25,入力ﾌｫｰﾑ!$V$3:$AF$10,9,0)="","",VLOOKUP($C25,入力ﾌｫｰﾑ!$V$3:$AF$10,9,0))</f>
        <v/>
      </c>
      <c r="K25" s="353" t="str">
        <f>IF(VLOOKUP($C25,入力ﾌｫｰﾑ!$V$3:$AF$10,10,0)="","",VLOOKUP($C25,入力ﾌｫｰﾑ!$V$3:$AF$10,10,0))</f>
        <v/>
      </c>
      <c r="L25" s="376" t="str">
        <f>IF(VLOOKUP($C25,入力ﾌｫｰﾑ!$V$3:$AF$10,11,0)="","",VLOOKUP($C25,入力ﾌｫｰﾑ!$V$3:$AF$10,11,0))</f>
        <v/>
      </c>
      <c r="M25" s="377"/>
    </row>
    <row r="26" spans="3:13" ht="27" customHeight="1" x14ac:dyDescent="0.15">
      <c r="C26" s="371"/>
      <c r="D26" s="385" t="str">
        <f>IF(VLOOKUP($C25,入力ﾌｫｰﾑ!$V$3:$AF$10,4,0)="","",VLOOKUP($C25,入力ﾌｫｰﾑ!$V$3:$AF$10,4,0))</f>
        <v/>
      </c>
      <c r="E26" s="386"/>
      <c r="F26" s="387"/>
      <c r="G26" s="397" t="str">
        <f>IF(VLOOKUP($C25,入力ﾌｫｰﾑ!$V$3:$AF$10,5,0)="","",VLOOKUP($C25,入力ﾌｫｰﾑ!$V$3:$AF$10,5,0))</f>
        <v/>
      </c>
      <c r="H26" s="398"/>
      <c r="I26" s="354"/>
      <c r="J26" s="354"/>
      <c r="K26" s="354"/>
      <c r="L26" s="378"/>
      <c r="M26" s="379"/>
    </row>
    <row r="27" spans="3:13" ht="17.100000000000001" customHeight="1" x14ac:dyDescent="0.15">
      <c r="C27" s="370" t="s">
        <v>2</v>
      </c>
      <c r="D27" s="382" t="str">
        <f>IF(VLOOKUP($C27,入力ﾌｫｰﾑ!$V$3:$AF$10,6,0)="","",VLOOKUP($C27,入力ﾌｫｰﾑ!$V$3:$AF$10,6,0))</f>
        <v/>
      </c>
      <c r="E27" s="383"/>
      <c r="F27" s="384"/>
      <c r="G27" s="358" t="str">
        <f>IF(VLOOKUP($C27,入力ﾌｫｰﾑ!$V$3:$AF$10,7,0)="","",VLOOKUP($C27,入力ﾌｫｰﾑ!$V$3:$AF$10,7,0))</f>
        <v/>
      </c>
      <c r="H27" s="359"/>
      <c r="I27" s="353" t="str">
        <f>IF(VLOOKUP($C27,入力ﾌｫｰﾑ!$V$3:$AF$10,8,0)="","",VLOOKUP($C27,入力ﾌｫｰﾑ!$V$3:$AF$10,8,0))</f>
        <v/>
      </c>
      <c r="J27" s="353" t="str">
        <f>IF(VLOOKUP($C27,入力ﾌｫｰﾑ!$V$3:$AF$10,9,0)="","",VLOOKUP($C27,入力ﾌｫｰﾑ!$V$3:$AF$10,9,0))</f>
        <v/>
      </c>
      <c r="K27" s="353" t="str">
        <f>IF(VLOOKUP($C27,入力ﾌｫｰﾑ!$V$3:$AF$10,10,0)="","",VLOOKUP($C27,入力ﾌｫｰﾑ!$V$3:$AF$10,10,0))</f>
        <v/>
      </c>
      <c r="L27" s="376" t="str">
        <f>IF(VLOOKUP($C27,入力ﾌｫｰﾑ!$V$3:$AF$10,11,0)="","",VLOOKUP($C27,入力ﾌｫｰﾑ!$V$3:$AF$10,11,0))</f>
        <v/>
      </c>
      <c r="M27" s="377"/>
    </row>
    <row r="28" spans="3:13" ht="27" customHeight="1" x14ac:dyDescent="0.15">
      <c r="C28" s="371"/>
      <c r="D28" s="385" t="str">
        <f>IF(VLOOKUP($C27,入力ﾌｫｰﾑ!$V$3:$AF$10,4,0)="","",VLOOKUP($C27,入力ﾌｫｰﾑ!$V$3:$AF$10,4,0))</f>
        <v/>
      </c>
      <c r="E28" s="386"/>
      <c r="F28" s="387"/>
      <c r="G28" s="397" t="str">
        <f>IF(VLOOKUP($C27,入力ﾌｫｰﾑ!$V$3:$AF$10,5,0)="","",VLOOKUP($C27,入力ﾌｫｰﾑ!$V$3:$AF$10,5,0))</f>
        <v/>
      </c>
      <c r="H28" s="398"/>
      <c r="I28" s="354"/>
      <c r="J28" s="354"/>
      <c r="K28" s="354"/>
      <c r="L28" s="378"/>
      <c r="M28" s="379"/>
    </row>
    <row r="29" spans="3:13" ht="17.100000000000001" customHeight="1" x14ac:dyDescent="0.15">
      <c r="C29" s="370" t="s">
        <v>6</v>
      </c>
      <c r="D29" s="382" t="str">
        <f>IF(VLOOKUP($C29,入力ﾌｫｰﾑ!$V$3:$AF$10,6,0)="","",VLOOKUP($C29,入力ﾌｫｰﾑ!$V$3:$AF$10,6,0))</f>
        <v/>
      </c>
      <c r="E29" s="383"/>
      <c r="F29" s="384"/>
      <c r="G29" s="358" t="str">
        <f>IF(VLOOKUP($C29,入力ﾌｫｰﾑ!$V$3:$AF$10,7,0)="","",VLOOKUP($C29,入力ﾌｫｰﾑ!$V$3:$AF$10,7,0))</f>
        <v/>
      </c>
      <c r="H29" s="359"/>
      <c r="I29" s="353" t="str">
        <f>IF(VLOOKUP($C29,入力ﾌｫｰﾑ!$V$3:$AF$10,8,0)="","",VLOOKUP($C29,入力ﾌｫｰﾑ!$V$3:$AF$10,8,0))</f>
        <v/>
      </c>
      <c r="J29" s="353" t="str">
        <f>IF(VLOOKUP($C29,入力ﾌｫｰﾑ!$V$3:$AF$10,9,0)="","",VLOOKUP($C29,入力ﾌｫｰﾑ!$V$3:$AF$10,9,0))</f>
        <v/>
      </c>
      <c r="K29" s="353" t="str">
        <f>IF(VLOOKUP($C29,入力ﾌｫｰﾑ!$V$3:$AF$10,10,0)="","",VLOOKUP($C29,入力ﾌｫｰﾑ!$V$3:$AF$10,10,0))</f>
        <v/>
      </c>
      <c r="L29" s="376" t="str">
        <f>IF(VLOOKUP($C29,入力ﾌｫｰﾑ!$V$3:$AF$10,11,0)="","",VLOOKUP($C29,入力ﾌｫｰﾑ!$V$3:$AF$10,11,0))</f>
        <v/>
      </c>
      <c r="M29" s="377"/>
    </row>
    <row r="30" spans="3:13" ht="27" customHeight="1" x14ac:dyDescent="0.15">
      <c r="C30" s="371"/>
      <c r="D30" s="385" t="str">
        <f>IF(VLOOKUP($C29,入力ﾌｫｰﾑ!$V$3:$AF$10,4,0)="","",VLOOKUP($C29,入力ﾌｫｰﾑ!$V$3:$AF$10,4,0))</f>
        <v/>
      </c>
      <c r="E30" s="386"/>
      <c r="F30" s="387"/>
      <c r="G30" s="397" t="str">
        <f>IF(VLOOKUP($C29,入力ﾌｫｰﾑ!$V$3:$AF$10,5,0)="","",VLOOKUP($C29,入力ﾌｫｰﾑ!$V$3:$AF$10,5,0))</f>
        <v/>
      </c>
      <c r="H30" s="398"/>
      <c r="I30" s="354"/>
      <c r="J30" s="354"/>
      <c r="K30" s="354"/>
      <c r="L30" s="378"/>
      <c r="M30" s="379"/>
    </row>
    <row r="31" spans="3:13" ht="17.100000000000001" customHeight="1" x14ac:dyDescent="0.15">
      <c r="C31" s="370" t="s">
        <v>7</v>
      </c>
      <c r="D31" s="382" t="str">
        <f>IF(VLOOKUP($C31,入力ﾌｫｰﾑ!$V$3:$AF$10,6,0)="","",VLOOKUP($C31,入力ﾌｫｰﾑ!$V$3:$AF$10,6,0))</f>
        <v/>
      </c>
      <c r="E31" s="383"/>
      <c r="F31" s="384"/>
      <c r="G31" s="358" t="str">
        <f>IF(VLOOKUP($C31,入力ﾌｫｰﾑ!$V$3:$AF$10,7,0)="","",VLOOKUP($C31,入力ﾌｫｰﾑ!$V$3:$AF$10,7,0))</f>
        <v/>
      </c>
      <c r="H31" s="359"/>
      <c r="I31" s="353" t="str">
        <f>IF(VLOOKUP($C31,入力ﾌｫｰﾑ!$V$3:$AF$10,8,0)="","",VLOOKUP($C31,入力ﾌｫｰﾑ!$V$3:$AF$10,8,0))</f>
        <v/>
      </c>
      <c r="J31" s="353" t="str">
        <f>IF(VLOOKUP($C31,入力ﾌｫｰﾑ!$V$3:$AF$10,9,0)="","",VLOOKUP($C31,入力ﾌｫｰﾑ!$V$3:$AF$10,9,0))</f>
        <v/>
      </c>
      <c r="K31" s="353" t="str">
        <f>IF(VLOOKUP($C31,入力ﾌｫｰﾑ!$V$3:$AF$10,10,0)="","",VLOOKUP($C31,入力ﾌｫｰﾑ!$V$3:$AF$10,10,0))</f>
        <v/>
      </c>
      <c r="L31" s="376" t="str">
        <f>IF(VLOOKUP($C31,入力ﾌｫｰﾑ!$V$3:$AF$10,11,0)="","",VLOOKUP($C31,入力ﾌｫｰﾑ!$V$3:$AF$10,11,0))</f>
        <v/>
      </c>
      <c r="M31" s="377"/>
    </row>
    <row r="32" spans="3:13" ht="27" customHeight="1" x14ac:dyDescent="0.15">
      <c r="C32" s="371"/>
      <c r="D32" s="385" t="str">
        <f>IF(VLOOKUP($C31,入力ﾌｫｰﾑ!$V$3:$AF$10,4,0)="","",VLOOKUP($C31,入力ﾌｫｰﾑ!$V$3:$AF$10,4,0))</f>
        <v/>
      </c>
      <c r="E32" s="386"/>
      <c r="F32" s="387"/>
      <c r="G32" s="397" t="str">
        <f>IF(VLOOKUP($C31,入力ﾌｫｰﾑ!$V$3:$AF$10,5,0)="","",VLOOKUP($C31,入力ﾌｫｰﾑ!$V$3:$AF$10,5,0))</f>
        <v/>
      </c>
      <c r="H32" s="398"/>
      <c r="I32" s="354"/>
      <c r="J32" s="354"/>
      <c r="K32" s="354"/>
      <c r="L32" s="378"/>
      <c r="M32" s="379"/>
    </row>
    <row r="33" spans="3:13" ht="17.100000000000001" customHeight="1" x14ac:dyDescent="0.15">
      <c r="C33" s="370" t="s">
        <v>8</v>
      </c>
      <c r="D33" s="382" t="str">
        <f>IF(VLOOKUP($C33,入力ﾌｫｰﾑ!$V$3:$AF$10,6,0)="","",VLOOKUP($C33,入力ﾌｫｰﾑ!$V$3:$AF$10,6,0))</f>
        <v/>
      </c>
      <c r="E33" s="383"/>
      <c r="F33" s="384"/>
      <c r="G33" s="358" t="str">
        <f>IF(VLOOKUP($C33,入力ﾌｫｰﾑ!$V$3:$AF$10,7,0)="","",VLOOKUP($C33,入力ﾌｫｰﾑ!$V$3:$AF$10,7,0))</f>
        <v/>
      </c>
      <c r="H33" s="359"/>
      <c r="I33" s="353" t="str">
        <f>IF(VLOOKUP($C33,入力ﾌｫｰﾑ!$V$3:$AF$10,8,0)="","",VLOOKUP($C33,入力ﾌｫｰﾑ!$V$3:$AF$10,8,0))</f>
        <v/>
      </c>
      <c r="J33" s="353" t="str">
        <f>IF(VLOOKUP($C33,入力ﾌｫｰﾑ!$V$3:$AF$10,9,0)="","",VLOOKUP($C33,入力ﾌｫｰﾑ!$V$3:$AF$10,9,0))</f>
        <v/>
      </c>
      <c r="K33" s="353" t="str">
        <f>IF(VLOOKUP($C33,入力ﾌｫｰﾑ!$V$3:$AF$10,10,0)="","",VLOOKUP($C33,入力ﾌｫｰﾑ!$V$3:$AF$10,10,0))</f>
        <v/>
      </c>
      <c r="L33" s="376" t="str">
        <f>IF(VLOOKUP($C33,入力ﾌｫｰﾑ!$V$3:$AF$10,11,0)="","",VLOOKUP($C33,入力ﾌｫｰﾑ!$V$3:$AF$10,11,0))</f>
        <v/>
      </c>
      <c r="M33" s="377"/>
    </row>
    <row r="34" spans="3:13" ht="27" customHeight="1" x14ac:dyDescent="0.15">
      <c r="C34" s="371"/>
      <c r="D34" s="385" t="str">
        <f>IF(VLOOKUP($C33,入力ﾌｫｰﾑ!$V$3:$AF$10,4,0)="","",VLOOKUP($C33,入力ﾌｫｰﾑ!$V$3:$AF$10,4,0))</f>
        <v/>
      </c>
      <c r="E34" s="386"/>
      <c r="F34" s="387"/>
      <c r="G34" s="397" t="str">
        <f>IF(VLOOKUP($C33,入力ﾌｫｰﾑ!$V$3:$AF$10,5,0)="","",VLOOKUP($C33,入力ﾌｫｰﾑ!$V$3:$AF$10,5,0))</f>
        <v/>
      </c>
      <c r="H34" s="398"/>
      <c r="I34" s="354"/>
      <c r="J34" s="354"/>
      <c r="K34" s="354"/>
      <c r="L34" s="378"/>
      <c r="M34" s="379"/>
    </row>
    <row r="35" spans="3:13" ht="6.75" customHeight="1" x14ac:dyDescent="0.15"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3:13" ht="6.75" customHeight="1" x14ac:dyDescent="0.15">
      <c r="C36" s="147"/>
      <c r="D36" s="147"/>
      <c r="E36" s="147"/>
      <c r="F36" s="147"/>
      <c r="G36" s="147"/>
      <c r="H36" s="148"/>
      <c r="I36" s="148"/>
      <c r="J36" s="148"/>
      <c r="K36" s="149"/>
      <c r="L36" s="149"/>
      <c r="M36" s="149"/>
    </row>
    <row r="37" spans="3:13" ht="24" customHeight="1" x14ac:dyDescent="0.15">
      <c r="C37" s="366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7" s="367"/>
      <c r="E37" s="367"/>
      <c r="F37" s="367"/>
      <c r="G37" s="367"/>
      <c r="H37" s="367"/>
      <c r="I37" s="367"/>
      <c r="J37" s="367"/>
      <c r="K37" s="367"/>
      <c r="L37" s="367"/>
      <c r="M37" s="367"/>
    </row>
    <row r="38" spans="3:13" ht="24" customHeight="1" x14ac:dyDescent="0.15">
      <c r="C38" s="366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8" s="367"/>
      <c r="E38" s="367"/>
      <c r="F38" s="367"/>
      <c r="G38" s="367"/>
      <c r="H38" s="367"/>
      <c r="I38" s="367"/>
      <c r="J38" s="367"/>
      <c r="K38" s="367"/>
      <c r="L38" s="367"/>
      <c r="M38" s="367"/>
    </row>
    <row r="39" spans="3:13" ht="24" customHeight="1" x14ac:dyDescent="0.15">
      <c r="C39" s="368" t="s">
        <v>220</v>
      </c>
      <c r="D39" s="369"/>
      <c r="E39" s="369"/>
      <c r="F39" s="369"/>
      <c r="G39" s="369"/>
      <c r="H39" s="369"/>
      <c r="I39" s="369"/>
      <c r="J39" s="369"/>
      <c r="K39" s="369"/>
      <c r="L39" s="369"/>
      <c r="M39" s="369"/>
    </row>
    <row r="40" spans="3:13" x14ac:dyDescent="0.15">
      <c r="C40" s="149"/>
      <c r="D40" s="150"/>
      <c r="E40" s="150"/>
      <c r="F40" s="150"/>
      <c r="G40" s="150"/>
      <c r="H40" s="150"/>
      <c r="I40" s="150"/>
    </row>
    <row r="41" spans="3:13" x14ac:dyDescent="0.15">
      <c r="C41" s="150"/>
      <c r="D41" s="150"/>
      <c r="E41" s="150"/>
      <c r="F41" s="150"/>
      <c r="G41" s="150"/>
      <c r="H41" s="150"/>
    </row>
    <row r="42" spans="3:13" x14ac:dyDescent="0.15">
      <c r="C42" s="150"/>
      <c r="D42" s="150"/>
      <c r="E42" s="150"/>
      <c r="F42" s="150"/>
      <c r="G42" s="150"/>
      <c r="H42" s="150"/>
    </row>
    <row r="43" spans="3:13" x14ac:dyDescent="0.15">
      <c r="C43" s="150"/>
      <c r="D43" s="150"/>
      <c r="E43" s="150"/>
      <c r="F43" s="150"/>
      <c r="G43" s="150"/>
      <c r="H43" s="150"/>
    </row>
    <row r="44" spans="3:13" x14ac:dyDescent="0.15">
      <c r="C44" s="150"/>
      <c r="D44" s="150"/>
      <c r="E44" s="150"/>
      <c r="F44" s="150"/>
      <c r="G44" s="150"/>
      <c r="H44" s="150"/>
    </row>
    <row r="45" spans="3:13" x14ac:dyDescent="0.15">
      <c r="C45" s="150"/>
      <c r="D45" s="150"/>
      <c r="E45" s="150"/>
      <c r="F45" s="150"/>
      <c r="G45" s="150"/>
      <c r="H45" s="150"/>
    </row>
    <row r="46" spans="3:13" x14ac:dyDescent="0.15">
      <c r="C46" s="150"/>
      <c r="D46" s="150"/>
      <c r="E46" s="150"/>
      <c r="F46" s="150"/>
      <c r="G46" s="150"/>
      <c r="H46" s="150"/>
    </row>
    <row r="47" spans="3:13" x14ac:dyDescent="0.15">
      <c r="C47" s="150"/>
      <c r="D47" s="150"/>
      <c r="E47" s="150"/>
      <c r="F47" s="150"/>
      <c r="G47" s="150"/>
      <c r="H47" s="150"/>
    </row>
    <row r="55" spans="7:7" x14ac:dyDescent="0.15">
      <c r="G55" s="151"/>
    </row>
    <row r="56" spans="7:7" x14ac:dyDescent="0.15">
      <c r="G56" s="151"/>
    </row>
    <row r="57" spans="7:7" x14ac:dyDescent="0.15">
      <c r="G57" s="151"/>
    </row>
    <row r="58" spans="7:7" x14ac:dyDescent="0.15">
      <c r="G58" s="151"/>
    </row>
    <row r="59" spans="7:7" x14ac:dyDescent="0.15">
      <c r="G59" s="151"/>
    </row>
    <row r="60" spans="7:7" x14ac:dyDescent="0.15">
      <c r="G60" s="151"/>
    </row>
    <row r="61" spans="7:7" x14ac:dyDescent="0.15">
      <c r="G61" s="151"/>
    </row>
    <row r="62" spans="7:7" x14ac:dyDescent="0.15">
      <c r="G62" s="151"/>
    </row>
    <row r="63" spans="7:7" x14ac:dyDescent="0.15">
      <c r="G63" s="151"/>
    </row>
    <row r="64" spans="7:7" x14ac:dyDescent="0.15">
      <c r="G64" s="151"/>
    </row>
    <row r="65" spans="7:7" x14ac:dyDescent="0.15">
      <c r="G65" s="151"/>
    </row>
  </sheetData>
  <sheetProtection sheet="1" objects="1" scenarios="1"/>
  <mergeCells count="114">
    <mergeCell ref="D18:F18"/>
    <mergeCell ref="C37:M37"/>
    <mergeCell ref="G32:H32"/>
    <mergeCell ref="D34:F34"/>
    <mergeCell ref="G34:H34"/>
    <mergeCell ref="J31:J32"/>
    <mergeCell ref="J33:J34"/>
    <mergeCell ref="C33:C34"/>
    <mergeCell ref="K33:K34"/>
    <mergeCell ref="L33:M34"/>
    <mergeCell ref="D31:F31"/>
    <mergeCell ref="I33:I34"/>
    <mergeCell ref="D33:F33"/>
    <mergeCell ref="K31:K32"/>
    <mergeCell ref="G33:H33"/>
    <mergeCell ref="G28:H28"/>
    <mergeCell ref="D29:F29"/>
    <mergeCell ref="D27:F27"/>
    <mergeCell ref="G29:H29"/>
    <mergeCell ref="D26:F26"/>
    <mergeCell ref="G26:H26"/>
    <mergeCell ref="I31:I32"/>
    <mergeCell ref="C31:C32"/>
    <mergeCell ref="D32:F32"/>
    <mergeCell ref="C1:M1"/>
    <mergeCell ref="C2:M2"/>
    <mergeCell ref="C6:D6"/>
    <mergeCell ref="J4:K4"/>
    <mergeCell ref="E4:F4"/>
    <mergeCell ref="C19:C20"/>
    <mergeCell ref="D20:F20"/>
    <mergeCell ref="H4:I4"/>
    <mergeCell ref="L4:M4"/>
    <mergeCell ref="C4:D4"/>
    <mergeCell ref="C5:D5"/>
    <mergeCell ref="K7:M7"/>
    <mergeCell ref="C7:D7"/>
    <mergeCell ref="E7:J7"/>
    <mergeCell ref="C16:C18"/>
    <mergeCell ref="G18:H18"/>
    <mergeCell ref="D17:H17"/>
    <mergeCell ref="I16:I18"/>
    <mergeCell ref="K13:M14"/>
    <mergeCell ref="J9:M9"/>
    <mergeCell ref="K16:K18"/>
    <mergeCell ref="C13:D14"/>
    <mergeCell ref="F12:H12"/>
    <mergeCell ref="I19:I20"/>
    <mergeCell ref="I21:I22"/>
    <mergeCell ref="D28:F28"/>
    <mergeCell ref="D21:F21"/>
    <mergeCell ref="G21:H21"/>
    <mergeCell ref="G23:H23"/>
    <mergeCell ref="C23:C24"/>
    <mergeCell ref="D22:F22"/>
    <mergeCell ref="G20:H20"/>
    <mergeCell ref="C21:C22"/>
    <mergeCell ref="G25:H25"/>
    <mergeCell ref="G24:H24"/>
    <mergeCell ref="G22:H22"/>
    <mergeCell ref="D25:F25"/>
    <mergeCell ref="C27:C28"/>
    <mergeCell ref="D23:F23"/>
    <mergeCell ref="I23:I24"/>
    <mergeCell ref="I25:I26"/>
    <mergeCell ref="I27:I28"/>
    <mergeCell ref="C29:C30"/>
    <mergeCell ref="G31:H31"/>
    <mergeCell ref="D30:F30"/>
    <mergeCell ref="G30:H30"/>
    <mergeCell ref="L27:M28"/>
    <mergeCell ref="L23:M24"/>
    <mergeCell ref="H8:M8"/>
    <mergeCell ref="K10:M11"/>
    <mergeCell ref="K27:K28"/>
    <mergeCell ref="K19:K20"/>
    <mergeCell ref="K21:K22"/>
    <mergeCell ref="J23:J24"/>
    <mergeCell ref="J25:J26"/>
    <mergeCell ref="L19:M20"/>
    <mergeCell ref="L21:M22"/>
    <mergeCell ref="J12:M12"/>
    <mergeCell ref="J13:J14"/>
    <mergeCell ref="F9:H9"/>
    <mergeCell ref="L16:M18"/>
    <mergeCell ref="J10:J11"/>
    <mergeCell ref="F13:I13"/>
    <mergeCell ref="F14:I14"/>
    <mergeCell ref="J21:J22"/>
    <mergeCell ref="L25:M26"/>
    <mergeCell ref="K25:K26"/>
    <mergeCell ref="D16:H16"/>
    <mergeCell ref="K23:K24"/>
    <mergeCell ref="G27:H27"/>
    <mergeCell ref="E6:M6"/>
    <mergeCell ref="E5:M5"/>
    <mergeCell ref="C38:M38"/>
    <mergeCell ref="C39:M39"/>
    <mergeCell ref="C25:C26"/>
    <mergeCell ref="C8:D9"/>
    <mergeCell ref="L29:M30"/>
    <mergeCell ref="K29:K30"/>
    <mergeCell ref="I29:I30"/>
    <mergeCell ref="L31:M32"/>
    <mergeCell ref="C10:D12"/>
    <mergeCell ref="J29:J30"/>
    <mergeCell ref="J19:J20"/>
    <mergeCell ref="G19:H19"/>
    <mergeCell ref="D19:F19"/>
    <mergeCell ref="J27:J28"/>
    <mergeCell ref="D24:F24"/>
    <mergeCell ref="F10:I10"/>
    <mergeCell ref="F11:I11"/>
    <mergeCell ref="J16:J18"/>
  </mergeCells>
  <phoneticPr fontId="3"/>
  <printOptions horizontalCentered="1"/>
  <pageMargins left="0.78740157480314965" right="0.59055118110236227" top="0.59055118110236227" bottom="0.59055118110236227" header="0.51181102362204722" footer="0.51181102362204722"/>
  <pageSetup paperSize="9" scale="99" orientation="portrait" errors="blank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="95" zoomScaleNormal="95" zoomScaleSheetLayoutView="85" workbookViewId="0">
      <selection activeCell="E9" sqref="E9"/>
    </sheetView>
  </sheetViews>
  <sheetFormatPr defaultRowHeight="13.5" x14ac:dyDescent="0.15"/>
  <cols>
    <col min="1" max="1" width="11" style="135" customWidth="1"/>
    <col min="2" max="2" width="10" style="135" customWidth="1"/>
    <col min="3" max="3" width="10" style="152" customWidth="1"/>
    <col min="4" max="4" width="3.75" style="152" customWidth="1"/>
    <col min="5" max="5" width="5.625" style="152" customWidth="1"/>
    <col min="6" max="6" width="12.625" style="152" customWidth="1"/>
    <col min="7" max="7" width="8.625" style="152" customWidth="1"/>
    <col min="8" max="8" width="13.625" style="152" customWidth="1"/>
    <col min="9" max="10" width="8.625" style="152" customWidth="1"/>
    <col min="11" max="11" width="10.375" style="152" customWidth="1"/>
    <col min="12" max="12" width="4.375" style="152" customWidth="1"/>
    <col min="13" max="13" width="3.625" style="152" customWidth="1"/>
    <col min="14" max="16384" width="9" style="152"/>
  </cols>
  <sheetData>
    <row r="1" spans="1:13" ht="29.25" customHeight="1" thickBot="1" x14ac:dyDescent="0.2">
      <c r="A1" s="134" t="s">
        <v>116</v>
      </c>
      <c r="C1" s="450" t="str">
        <f>男子団体!$C$1</f>
        <v>平成２８年度東北中学校体育大会　第３９回東北中学校柔道大会</v>
      </c>
      <c r="D1" s="450"/>
      <c r="E1" s="450"/>
      <c r="F1" s="450"/>
      <c r="G1" s="450"/>
      <c r="H1" s="450"/>
      <c r="I1" s="450"/>
      <c r="J1" s="450"/>
      <c r="K1" s="450"/>
      <c r="L1" s="450"/>
      <c r="M1" s="450"/>
    </row>
    <row r="2" spans="1:13" ht="24.75" thickBot="1" x14ac:dyDescent="0.2">
      <c r="A2" s="136">
        <f>メインシート!C6</f>
        <v>0</v>
      </c>
      <c r="C2" s="451" t="s">
        <v>50</v>
      </c>
      <c r="D2" s="451"/>
      <c r="E2" s="451"/>
      <c r="F2" s="451"/>
      <c r="G2" s="451"/>
      <c r="H2" s="451"/>
      <c r="I2" s="451"/>
      <c r="J2" s="452"/>
      <c r="K2" s="451"/>
      <c r="L2" s="451"/>
      <c r="M2" s="451"/>
    </row>
    <row r="3" spans="1:13" ht="6.75" customHeight="1" thickBot="1" x14ac:dyDescent="0.2"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24.95" customHeight="1" thickBot="1" x14ac:dyDescent="0.2">
      <c r="A4" s="136">
        <f>メインシート!$C$8</f>
        <v>0</v>
      </c>
      <c r="C4" s="453" t="s">
        <v>15</v>
      </c>
      <c r="D4" s="453"/>
      <c r="E4" s="458" t="e">
        <f>VLOOKUP($A$4,メインシート!$B$13:$D$18,2,0)</f>
        <v>#N/A</v>
      </c>
      <c r="F4" s="459"/>
      <c r="G4" s="156" t="s">
        <v>16</v>
      </c>
      <c r="H4" s="454" t="s">
        <v>17</v>
      </c>
      <c r="I4" s="455"/>
      <c r="J4" s="460" t="str">
        <f>IF(入力ﾌｫｰﾑ!$D$15="","",入力ﾌｫｰﾑ!$D$15)</f>
        <v/>
      </c>
      <c r="K4" s="461"/>
      <c r="L4" s="456" t="s">
        <v>10</v>
      </c>
      <c r="M4" s="457"/>
    </row>
    <row r="5" spans="1:13" ht="17.100000000000001" customHeight="1" x14ac:dyDescent="0.15">
      <c r="C5" s="462" t="s">
        <v>24</v>
      </c>
      <c r="D5" s="463"/>
      <c r="E5" s="363">
        <f>メインシート!$H$5</f>
        <v>0</v>
      </c>
      <c r="F5" s="364"/>
      <c r="G5" s="364"/>
      <c r="H5" s="364"/>
      <c r="I5" s="364"/>
      <c r="J5" s="364"/>
      <c r="K5" s="364"/>
      <c r="L5" s="364"/>
      <c r="M5" s="365"/>
    </row>
    <row r="6" spans="1:13" ht="27" customHeight="1" x14ac:dyDescent="0.15">
      <c r="C6" s="464" t="s">
        <v>0</v>
      </c>
      <c r="D6" s="465"/>
      <c r="E6" s="360">
        <f>メインシート!$H$6</f>
        <v>0</v>
      </c>
      <c r="F6" s="361"/>
      <c r="G6" s="361"/>
      <c r="H6" s="361"/>
      <c r="I6" s="361"/>
      <c r="J6" s="361"/>
      <c r="K6" s="361"/>
      <c r="L6" s="361"/>
      <c r="M6" s="362"/>
    </row>
    <row r="7" spans="1:13" ht="36.75" customHeight="1" x14ac:dyDescent="0.15">
      <c r="C7" s="464" t="s">
        <v>39</v>
      </c>
      <c r="D7" s="465"/>
      <c r="E7" s="435" t="str">
        <f>IF(メインシート!$H$7="","",メインシート!$H$7)</f>
        <v/>
      </c>
      <c r="F7" s="436"/>
      <c r="G7" s="436"/>
      <c r="H7" s="436"/>
      <c r="I7" s="436"/>
      <c r="J7" s="436"/>
      <c r="K7" s="432" t="s">
        <v>40</v>
      </c>
      <c r="L7" s="433"/>
      <c r="M7" s="434"/>
    </row>
    <row r="8" spans="1:13" ht="27" customHeight="1" x14ac:dyDescent="0.15">
      <c r="C8" s="466" t="s">
        <v>25</v>
      </c>
      <c r="D8" s="467"/>
      <c r="E8" s="139" t="s">
        <v>43</v>
      </c>
      <c r="F8" s="140">
        <f>メインシート!$H$8</f>
        <v>0</v>
      </c>
      <c r="G8" s="141" t="s">
        <v>26</v>
      </c>
      <c r="H8" s="399">
        <f>メインシート!$H$9</f>
        <v>0</v>
      </c>
      <c r="I8" s="400"/>
      <c r="J8" s="400"/>
      <c r="K8" s="400"/>
      <c r="L8" s="400"/>
      <c r="M8" s="401"/>
    </row>
    <row r="9" spans="1:13" ht="27" customHeight="1" x14ac:dyDescent="0.15">
      <c r="C9" s="468"/>
      <c r="D9" s="469"/>
      <c r="E9" s="187" t="s">
        <v>44</v>
      </c>
      <c r="F9" s="404">
        <f>メインシート!$H$10</f>
        <v>0</v>
      </c>
      <c r="G9" s="405"/>
      <c r="H9" s="406"/>
      <c r="I9" s="141" t="s">
        <v>45</v>
      </c>
      <c r="J9" s="404">
        <f>メインシート!$H$11</f>
        <v>0</v>
      </c>
      <c r="K9" s="405"/>
      <c r="L9" s="405"/>
      <c r="M9" s="406"/>
    </row>
    <row r="10" spans="1:13" ht="17.100000000000001" customHeight="1" x14ac:dyDescent="0.15">
      <c r="C10" s="466" t="s">
        <v>27</v>
      </c>
      <c r="D10" s="467"/>
      <c r="E10" s="142" t="s">
        <v>24</v>
      </c>
      <c r="F10" s="388" t="str">
        <f>IF(F11="","",VLOOKUP(F11,入力ﾌｫｰﾑ!$C$4:$E$7,3,0))</f>
        <v/>
      </c>
      <c r="G10" s="389" t="e">
        <f>IF(#REF!="","",VLOOKUP(#REF!,入力ﾌｫｰﾑ!$C$4:$E$7,2,0))</f>
        <v>#REF!</v>
      </c>
      <c r="H10" s="389" t="str">
        <f>IF(C11="","",VLOOKUP(C11,入力ﾌｫｰﾑ!$C$4:$E$7,2,0))</f>
        <v/>
      </c>
      <c r="I10" s="390" t="str">
        <f>IF(D11="","",VLOOKUP(D11,入力ﾌｫｰﾑ!$C$4:$E$7,2,0))</f>
        <v/>
      </c>
      <c r="J10" s="415" t="s">
        <v>28</v>
      </c>
      <c r="K10" s="376" t="str">
        <f>IF(F11="","",VLOOKUP(F11,入力ﾌｫｰﾑ!$C$4:$E$7,2,0))</f>
        <v/>
      </c>
      <c r="L10" s="402"/>
      <c r="M10" s="377"/>
    </row>
    <row r="11" spans="1:13" ht="27" customHeight="1" x14ac:dyDescent="0.15">
      <c r="A11" s="135">
        <f>入力ﾌｫｰﾑ!$A$16</f>
        <v>201001</v>
      </c>
      <c r="C11" s="470"/>
      <c r="D11" s="471"/>
      <c r="E11" s="143" t="s">
        <v>29</v>
      </c>
      <c r="F11" s="391" t="str">
        <f>IF(VLOOKUP($A11,入力ﾌｫｰﾑ!$A$11:$F$27,4,0)="","",VLOOKUP($A11,入力ﾌｫｰﾑ!$A$11:$F$27,4,0))</f>
        <v/>
      </c>
      <c r="G11" s="392"/>
      <c r="H11" s="392"/>
      <c r="I11" s="393"/>
      <c r="J11" s="396"/>
      <c r="K11" s="378"/>
      <c r="L11" s="403"/>
      <c r="M11" s="379"/>
    </row>
    <row r="12" spans="1:13" ht="27" customHeight="1" x14ac:dyDescent="0.15">
      <c r="A12" s="135">
        <f>入力ﾌｫｰﾑ!$A$16</f>
        <v>201001</v>
      </c>
      <c r="C12" s="468"/>
      <c r="D12" s="469"/>
      <c r="E12" s="187" t="s">
        <v>44</v>
      </c>
      <c r="F12" s="404" t="str">
        <f>IF(VLOOKUP($A12,入力ﾌｫｰﾑ!$A$11:$F$27,5,0)="","",VLOOKUP($A12,入力ﾌｫｰﾑ!$A$11:$F$27,5,0))</f>
        <v/>
      </c>
      <c r="G12" s="405"/>
      <c r="H12" s="406"/>
      <c r="I12" s="141" t="s">
        <v>30</v>
      </c>
      <c r="J12" s="404" t="str">
        <f>IF(VLOOKUP($A12,入力ﾌｫｰﾑ!$A$11:$F$27,6,0)="","",VLOOKUP($A12,入力ﾌｫｰﾑ!$A$11:$F$27,6,0))</f>
        <v/>
      </c>
      <c r="K12" s="405"/>
      <c r="L12" s="405"/>
      <c r="M12" s="406"/>
    </row>
    <row r="13" spans="1:13" ht="17.100000000000001" customHeight="1" x14ac:dyDescent="0.15">
      <c r="C13" s="466" t="s">
        <v>41</v>
      </c>
      <c r="D13" s="467"/>
      <c r="E13" s="142" t="s">
        <v>24</v>
      </c>
      <c r="F13" s="388" t="str">
        <f>IF(F14="","",VLOOKUP(F14,入力ﾌｫｰﾑ!$C$4:$E$7,3,0))</f>
        <v/>
      </c>
      <c r="G13" s="389"/>
      <c r="H13" s="389"/>
      <c r="I13" s="390"/>
      <c r="J13" s="407" t="s">
        <v>33</v>
      </c>
      <c r="K13" s="472" t="str">
        <f>IF($F14="","",VLOOKUP($F14,メインシート!$H$13:$R$19,9,0))</f>
        <v/>
      </c>
      <c r="L13" s="473"/>
      <c r="M13" s="474"/>
    </row>
    <row r="14" spans="1:13" ht="24.95" customHeight="1" x14ac:dyDescent="0.15">
      <c r="A14" s="135">
        <f>入力ﾌｫｰﾑ!$A$17</f>
        <v>201002</v>
      </c>
      <c r="C14" s="468"/>
      <c r="D14" s="469"/>
      <c r="E14" s="143" t="s">
        <v>29</v>
      </c>
      <c r="F14" s="391" t="str">
        <f>IF(VLOOKUP($A14,入力ﾌｫｰﾑ!$A$11:$F$27,4,0)="","",VLOOKUP($A14,入力ﾌｫｰﾑ!$A$11:$F$27,4,0))</f>
        <v/>
      </c>
      <c r="G14" s="392"/>
      <c r="H14" s="392"/>
      <c r="I14" s="393"/>
      <c r="J14" s="408"/>
      <c r="K14" s="475"/>
      <c r="L14" s="476"/>
      <c r="M14" s="477"/>
    </row>
    <row r="15" spans="1:13" ht="7.5" customHeight="1" x14ac:dyDescent="0.15">
      <c r="C15" s="171"/>
      <c r="D15" s="166"/>
      <c r="E15" s="166"/>
      <c r="F15" s="166"/>
      <c r="G15" s="166"/>
      <c r="H15" s="166"/>
      <c r="I15" s="166"/>
      <c r="J15" s="166"/>
      <c r="K15" s="166"/>
      <c r="L15" s="166"/>
      <c r="M15" s="172"/>
    </row>
    <row r="16" spans="1:13" ht="20.100000000000001" customHeight="1" x14ac:dyDescent="0.15">
      <c r="C16" s="478" t="s">
        <v>1</v>
      </c>
      <c r="D16" s="481" t="s">
        <v>14</v>
      </c>
      <c r="E16" s="482"/>
      <c r="F16" s="482"/>
      <c r="G16" s="482"/>
      <c r="H16" s="483"/>
      <c r="I16" s="484" t="s">
        <v>11</v>
      </c>
      <c r="J16" s="484" t="s">
        <v>35</v>
      </c>
      <c r="K16" s="484" t="s">
        <v>34</v>
      </c>
      <c r="L16" s="492" t="s">
        <v>9</v>
      </c>
      <c r="M16" s="493"/>
    </row>
    <row r="17" spans="3:13" ht="20.100000000000001" customHeight="1" x14ac:dyDescent="0.15">
      <c r="C17" s="479"/>
      <c r="D17" s="497" t="s">
        <v>24</v>
      </c>
      <c r="E17" s="498"/>
      <c r="F17" s="498"/>
      <c r="G17" s="498"/>
      <c r="H17" s="499"/>
      <c r="I17" s="485"/>
      <c r="J17" s="485"/>
      <c r="K17" s="485"/>
      <c r="L17" s="494"/>
      <c r="M17" s="495"/>
    </row>
    <row r="18" spans="3:13" ht="20.100000000000001" customHeight="1" x14ac:dyDescent="0.15">
      <c r="C18" s="480"/>
      <c r="D18" s="500" t="s">
        <v>37</v>
      </c>
      <c r="E18" s="501"/>
      <c r="F18" s="501"/>
      <c r="G18" s="502" t="s">
        <v>38</v>
      </c>
      <c r="H18" s="503"/>
      <c r="I18" s="486"/>
      <c r="J18" s="486"/>
      <c r="K18" s="486"/>
      <c r="L18" s="496"/>
      <c r="M18" s="495"/>
    </row>
    <row r="19" spans="3:13" ht="20.100000000000001" customHeight="1" x14ac:dyDescent="0.15">
      <c r="C19" s="478" t="s">
        <v>5</v>
      </c>
      <c r="D19" s="506" t="str">
        <f>IF(VLOOKUP($C19,入力ﾌｫｰﾑ!$V$13:$AF$17,6,0)="","",VLOOKUP($C19,入力ﾌｫｰﾑ!$V$13:$AF$17,6,0))</f>
        <v/>
      </c>
      <c r="E19" s="507"/>
      <c r="F19" s="508"/>
      <c r="G19" s="509" t="str">
        <f>IF(VLOOKUP($C19,入力ﾌｫｰﾑ!$V$13:$AF$17,7,0)="","",VLOOKUP($C19,入力ﾌｫｰﾑ!$V$13:$AF$17,7,0))</f>
        <v/>
      </c>
      <c r="H19" s="510"/>
      <c r="I19" s="505" t="str">
        <f>IF(VLOOKUP($C19,入力ﾌｫｰﾑ!$V$13:$AF$17,8,0)="","",VLOOKUP($C19,入力ﾌｫｰﾑ!$V$13:$AF$17,8,0))</f>
        <v/>
      </c>
      <c r="J19" s="505" t="str">
        <f>IF(VLOOKUP($C19,入力ﾌｫｰﾑ!$V$13:$AF$17,9,0)="","",VLOOKUP($C19,入力ﾌｫｰﾑ!$V$13:$AF$17,9,0))</f>
        <v/>
      </c>
      <c r="K19" s="353" t="str">
        <f>IF(VLOOKUP($C19,入力ﾌｫｰﾑ!$V$13:$AF$17,10,0)="","",VLOOKUP($C19,入力ﾌｫｰﾑ!$V$13:$AF$17,10,0))</f>
        <v/>
      </c>
      <c r="L19" s="504" t="str">
        <f>IF(VLOOKUP($C19,入力ﾌｫｰﾑ!$V$13:$AF$17,11,0)="","",VLOOKUP($C19,入力ﾌｫｰﾑ!$V$13:$AF$17,11,0))</f>
        <v/>
      </c>
      <c r="M19" s="504"/>
    </row>
    <row r="20" spans="3:13" ht="35.1" customHeight="1" x14ac:dyDescent="0.15">
      <c r="C20" s="480"/>
      <c r="D20" s="487" t="str">
        <f>IF(VLOOKUP($C19,入力ﾌｫｰﾑ!$V$13:$AF$17,4,0)="","",VLOOKUP($C19,入力ﾌｫｰﾑ!$V$13:$AF$17,4,0))</f>
        <v/>
      </c>
      <c r="E20" s="488"/>
      <c r="F20" s="489"/>
      <c r="G20" s="490" t="str">
        <f>IF(VLOOKUP($C19,入力ﾌｫｰﾑ!$V$13:$AF$17,5,0)="","",VLOOKUP($C19,入力ﾌｫｰﾑ!$V$13:$AF$17,5,0))</f>
        <v/>
      </c>
      <c r="H20" s="491"/>
      <c r="I20" s="505"/>
      <c r="J20" s="505"/>
      <c r="K20" s="354"/>
      <c r="L20" s="504"/>
      <c r="M20" s="504"/>
    </row>
    <row r="21" spans="3:13" ht="20.100000000000001" customHeight="1" x14ac:dyDescent="0.15">
      <c r="C21" s="478" t="s">
        <v>4</v>
      </c>
      <c r="D21" s="506" t="str">
        <f>IF(VLOOKUP($C21,入力ﾌｫｰﾑ!$V$13:$AF$17,6,0)="","",VLOOKUP($C21,入力ﾌｫｰﾑ!$V$13:$AF$17,6,0))</f>
        <v/>
      </c>
      <c r="E21" s="507"/>
      <c r="F21" s="508"/>
      <c r="G21" s="509" t="str">
        <f>IF(VLOOKUP($C21,入力ﾌｫｰﾑ!$V$13:$AF$17,7,0)="","",VLOOKUP($C21,入力ﾌｫｰﾑ!$V$13:$AF$17,7,0))</f>
        <v/>
      </c>
      <c r="H21" s="510"/>
      <c r="I21" s="505" t="str">
        <f>IF(VLOOKUP($C21,入力ﾌｫｰﾑ!$V$13:$AF$17,8,0)="","",VLOOKUP($C21,入力ﾌｫｰﾑ!$V$13:$AF$17,8,0))</f>
        <v/>
      </c>
      <c r="J21" s="505" t="str">
        <f>IF(VLOOKUP($C21,入力ﾌｫｰﾑ!$V$13:$AF$17,9,0)="","",VLOOKUP($C21,入力ﾌｫｰﾑ!$V$13:$AF$17,9,0))</f>
        <v/>
      </c>
      <c r="K21" s="353" t="str">
        <f>IF(VLOOKUP($C21,入力ﾌｫｰﾑ!$V$13:$AF$17,10,0)="","",VLOOKUP($C21,入力ﾌｫｰﾑ!$V$13:$AF$17,10,0))</f>
        <v/>
      </c>
      <c r="L21" s="504" t="str">
        <f>IF(VLOOKUP($C21,入力ﾌｫｰﾑ!$V$13:$AF$17,11,0)="","",VLOOKUP($C21,入力ﾌｫｰﾑ!$V$13:$AF$17,11,0))</f>
        <v/>
      </c>
      <c r="M21" s="504"/>
    </row>
    <row r="22" spans="3:13" ht="35.1" customHeight="1" x14ac:dyDescent="0.15">
      <c r="C22" s="480"/>
      <c r="D22" s="487" t="str">
        <f>IF(VLOOKUP($C21,入力ﾌｫｰﾑ!$V$13:$AF$17,4,0)="","",VLOOKUP($C21,入力ﾌｫｰﾑ!$V$13:$AF$17,4,0))</f>
        <v/>
      </c>
      <c r="E22" s="488"/>
      <c r="F22" s="489"/>
      <c r="G22" s="490" t="str">
        <f>IF(VLOOKUP($C21,入力ﾌｫｰﾑ!$V$13:$AF$17,5,0)="","",VLOOKUP($C21,入力ﾌｫｰﾑ!$V$13:$AF$17,5,0))</f>
        <v/>
      </c>
      <c r="H22" s="491"/>
      <c r="I22" s="505"/>
      <c r="J22" s="505"/>
      <c r="K22" s="354"/>
      <c r="L22" s="504"/>
      <c r="M22" s="504"/>
    </row>
    <row r="23" spans="3:13" ht="20.100000000000001" customHeight="1" x14ac:dyDescent="0.15">
      <c r="C23" s="478" t="s">
        <v>2</v>
      </c>
      <c r="D23" s="506" t="str">
        <f>IF(VLOOKUP($C23,入力ﾌｫｰﾑ!$V$13:$AF$17,6,0)="","",VLOOKUP($C23,入力ﾌｫｰﾑ!$V$13:$AF$17,6,0))</f>
        <v/>
      </c>
      <c r="E23" s="507"/>
      <c r="F23" s="508"/>
      <c r="G23" s="509" t="str">
        <f>IF(VLOOKUP($C23,入力ﾌｫｰﾑ!$V$13:$AF$17,7,0)="","",VLOOKUP($C23,入力ﾌｫｰﾑ!$V$13:$AF$17,7,0))</f>
        <v/>
      </c>
      <c r="H23" s="510"/>
      <c r="I23" s="505" t="str">
        <f>IF(VLOOKUP($C23,入力ﾌｫｰﾑ!$V$13:$AF$17,8,0)="","",VLOOKUP($C23,入力ﾌｫｰﾑ!$V$13:$AF$17,8,0))</f>
        <v/>
      </c>
      <c r="J23" s="505" t="str">
        <f>IF(VLOOKUP($C23,入力ﾌｫｰﾑ!$V$13:$AF$17,9,0)="","",VLOOKUP($C23,入力ﾌｫｰﾑ!$V$13:$AF$17,9,0))</f>
        <v/>
      </c>
      <c r="K23" s="353" t="str">
        <f>IF(VLOOKUP($C23,入力ﾌｫｰﾑ!$V$13:$AF$17,10,0)="","",VLOOKUP($C23,入力ﾌｫｰﾑ!$V$13:$AF$17,10,0))</f>
        <v/>
      </c>
      <c r="L23" s="504" t="str">
        <f>IF(VLOOKUP($C23,入力ﾌｫｰﾑ!$V$13:$AF$17,11,0)="","",VLOOKUP($C23,入力ﾌｫｰﾑ!$V$13:$AF$17,11,0))</f>
        <v/>
      </c>
      <c r="M23" s="504"/>
    </row>
    <row r="24" spans="3:13" ht="35.1" customHeight="1" x14ac:dyDescent="0.15">
      <c r="C24" s="480"/>
      <c r="D24" s="487" t="str">
        <f>IF(VLOOKUP($C23,入力ﾌｫｰﾑ!$V$13:$AF$17,4,0)="","",VLOOKUP($C23,入力ﾌｫｰﾑ!$V$13:$AF$17,4,0))</f>
        <v/>
      </c>
      <c r="E24" s="488"/>
      <c r="F24" s="489"/>
      <c r="G24" s="490" t="str">
        <f>IF(VLOOKUP($C23,入力ﾌｫｰﾑ!$V$13:$AF$17,5,0)="","",VLOOKUP($C23,入力ﾌｫｰﾑ!$V$13:$AF$17,5,0))</f>
        <v/>
      </c>
      <c r="H24" s="491"/>
      <c r="I24" s="505"/>
      <c r="J24" s="505"/>
      <c r="K24" s="354"/>
      <c r="L24" s="504"/>
      <c r="M24" s="504"/>
    </row>
    <row r="25" spans="3:13" ht="20.100000000000001" customHeight="1" x14ac:dyDescent="0.15">
      <c r="C25" s="478" t="s">
        <v>6</v>
      </c>
      <c r="D25" s="506" t="str">
        <f>IF(VLOOKUP($C25,入力ﾌｫｰﾑ!$V$13:$AF$17,6,0)="","",VLOOKUP($C25,入力ﾌｫｰﾑ!$V$13:$AF$17,6,0))</f>
        <v/>
      </c>
      <c r="E25" s="507"/>
      <c r="F25" s="508"/>
      <c r="G25" s="509" t="str">
        <f>IF(VLOOKUP($C25,入力ﾌｫｰﾑ!$V$13:$AF$17,7,0)="","",VLOOKUP($C25,入力ﾌｫｰﾑ!$V$13:$AF$17,7,0))</f>
        <v/>
      </c>
      <c r="H25" s="510"/>
      <c r="I25" s="505" t="str">
        <f>IF(VLOOKUP($C25,入力ﾌｫｰﾑ!$V$13:$AF$17,8,0)="","",VLOOKUP($C25,入力ﾌｫｰﾑ!$V$13:$AF$17,8,0))</f>
        <v/>
      </c>
      <c r="J25" s="505" t="str">
        <f>IF(VLOOKUP($C25,入力ﾌｫｰﾑ!$V$13:$AF$17,9,0)="","",VLOOKUP($C25,入力ﾌｫｰﾑ!$V$13:$AF$17,9,0))</f>
        <v/>
      </c>
      <c r="K25" s="353" t="str">
        <f>IF(VLOOKUP($C25,入力ﾌｫｰﾑ!$V$13:$AF$17,10,0)="","",VLOOKUP($C25,入力ﾌｫｰﾑ!$V$13:$AF$17,10,0))</f>
        <v/>
      </c>
      <c r="L25" s="504" t="str">
        <f>IF(VLOOKUP($C25,入力ﾌｫｰﾑ!$V$13:$AF$17,11,0)="","",VLOOKUP($C25,入力ﾌｫｰﾑ!$V$13:$AF$17,11,0))</f>
        <v/>
      </c>
      <c r="M25" s="504"/>
    </row>
    <row r="26" spans="3:13" ht="35.1" customHeight="1" x14ac:dyDescent="0.15">
      <c r="C26" s="480"/>
      <c r="D26" s="487" t="str">
        <f>IF(VLOOKUP($C25,入力ﾌｫｰﾑ!$V$13:$AF$17,4,0)="","",VLOOKUP($C25,入力ﾌｫｰﾑ!$V$13:$AF$17,4,0))</f>
        <v/>
      </c>
      <c r="E26" s="488"/>
      <c r="F26" s="489"/>
      <c r="G26" s="490" t="str">
        <f>IF(VLOOKUP($C25,入力ﾌｫｰﾑ!$V$13:$AF$17,5,0)="","",VLOOKUP($C25,入力ﾌｫｰﾑ!$V$13:$AF$17,5,0))</f>
        <v/>
      </c>
      <c r="H26" s="491"/>
      <c r="I26" s="505"/>
      <c r="J26" s="505"/>
      <c r="K26" s="354"/>
      <c r="L26" s="504"/>
      <c r="M26" s="504"/>
    </row>
    <row r="27" spans="3:13" ht="20.100000000000001" customHeight="1" x14ac:dyDescent="0.15">
      <c r="C27" s="478" t="s">
        <v>7</v>
      </c>
      <c r="D27" s="506" t="str">
        <f>IF(VLOOKUP($C27,入力ﾌｫｰﾑ!$V$13:$AF$17,6,0)="","",VLOOKUP($C27,入力ﾌｫｰﾑ!$V$13:$AF$17,6,0))</f>
        <v/>
      </c>
      <c r="E27" s="507"/>
      <c r="F27" s="508"/>
      <c r="G27" s="509" t="str">
        <f>IF(VLOOKUP($C27,入力ﾌｫｰﾑ!$V$13:$AF$17,7,0)="","",VLOOKUP($C27,入力ﾌｫｰﾑ!$V$13:$AF$17,7,0))</f>
        <v/>
      </c>
      <c r="H27" s="510"/>
      <c r="I27" s="505" t="str">
        <f>IF(VLOOKUP($C27,入力ﾌｫｰﾑ!$V$13:$AF$17,8,0)="","",VLOOKUP($C27,入力ﾌｫｰﾑ!$V$13:$AF$17,8,0))</f>
        <v/>
      </c>
      <c r="J27" s="505" t="str">
        <f>IF(VLOOKUP($C27,入力ﾌｫｰﾑ!$V$13:$AF$17,9,0)="","",VLOOKUP($C27,入力ﾌｫｰﾑ!$V$13:$AF$17,9,0))</f>
        <v/>
      </c>
      <c r="K27" s="353" t="str">
        <f>IF(VLOOKUP($C27,入力ﾌｫｰﾑ!$V$13:$AF$17,10,0)="","",VLOOKUP($C27,入力ﾌｫｰﾑ!$V$13:$AF$17,10,0))</f>
        <v/>
      </c>
      <c r="L27" s="504" t="str">
        <f>IF(VLOOKUP($C27,入力ﾌｫｰﾑ!$V$13:$AF$17,11,0)="","",VLOOKUP($C27,入力ﾌｫｰﾑ!$V$13:$AF$17,11,0))</f>
        <v/>
      </c>
      <c r="M27" s="504"/>
    </row>
    <row r="28" spans="3:13" ht="35.1" customHeight="1" x14ac:dyDescent="0.15">
      <c r="C28" s="480"/>
      <c r="D28" s="487" t="str">
        <f>IF(VLOOKUP($C27,入力ﾌｫｰﾑ!$V$13:$AF$17,4,0)="","",VLOOKUP($C27,入力ﾌｫｰﾑ!$V$13:$AF$17,4,0))</f>
        <v/>
      </c>
      <c r="E28" s="488"/>
      <c r="F28" s="489"/>
      <c r="G28" s="490" t="str">
        <f>IF(VLOOKUP($C27,入力ﾌｫｰﾑ!$V$13:$AF$17,5,0)="","",VLOOKUP($C27,入力ﾌｫｰﾑ!$V$13:$AF$17,5,0))</f>
        <v/>
      </c>
      <c r="H28" s="491"/>
      <c r="I28" s="505"/>
      <c r="J28" s="505"/>
      <c r="K28" s="354"/>
      <c r="L28" s="504"/>
      <c r="M28" s="504"/>
    </row>
    <row r="29" spans="3:13" ht="6.75" customHeight="1" x14ac:dyDescent="0.15">
      <c r="C29" s="173"/>
      <c r="D29" s="167"/>
      <c r="E29" s="167"/>
      <c r="F29" s="167"/>
      <c r="G29" s="167"/>
      <c r="H29" s="167"/>
      <c r="I29" s="167"/>
      <c r="J29" s="167"/>
      <c r="K29" s="167"/>
      <c r="L29" s="167"/>
      <c r="M29" s="167"/>
    </row>
    <row r="30" spans="3:13" ht="6.75" customHeight="1" x14ac:dyDescent="0.15">
      <c r="C30" s="173"/>
      <c r="D30" s="167"/>
      <c r="E30" s="167"/>
      <c r="F30" s="167"/>
      <c r="G30" s="167"/>
      <c r="H30" s="174"/>
      <c r="I30" s="174"/>
      <c r="J30" s="174"/>
      <c r="K30" s="175"/>
      <c r="L30" s="175"/>
      <c r="M30" s="175"/>
    </row>
    <row r="31" spans="3:13" ht="24" customHeight="1" x14ac:dyDescent="0.15">
      <c r="C31" s="446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1" s="447"/>
      <c r="E31" s="447"/>
      <c r="F31" s="447"/>
      <c r="G31" s="447"/>
      <c r="H31" s="447"/>
      <c r="I31" s="447"/>
      <c r="J31" s="447"/>
      <c r="K31" s="447"/>
      <c r="L31" s="447"/>
      <c r="M31" s="447"/>
    </row>
    <row r="32" spans="3:13" ht="24" customHeight="1" x14ac:dyDescent="0.15">
      <c r="C32" s="446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2" s="447"/>
      <c r="E32" s="447"/>
      <c r="F32" s="447"/>
      <c r="G32" s="447"/>
      <c r="H32" s="447"/>
      <c r="I32" s="447"/>
      <c r="J32" s="447"/>
      <c r="K32" s="447"/>
      <c r="L32" s="447"/>
      <c r="M32" s="447"/>
    </row>
    <row r="33" spans="1:13" ht="24" customHeight="1" x14ac:dyDescent="0.15">
      <c r="C33" s="448" t="s">
        <v>220</v>
      </c>
      <c r="D33" s="449"/>
      <c r="E33" s="449"/>
      <c r="F33" s="449"/>
      <c r="G33" s="449"/>
      <c r="H33" s="449"/>
      <c r="I33" s="449"/>
      <c r="J33" s="449"/>
      <c r="K33" s="449"/>
      <c r="L33" s="449"/>
      <c r="M33" s="449"/>
    </row>
    <row r="34" spans="1:13" s="176" customFormat="1" x14ac:dyDescent="0.15">
      <c r="A34" s="135"/>
      <c r="C34" s="177"/>
      <c r="D34" s="177"/>
      <c r="E34" s="177"/>
      <c r="F34" s="177"/>
      <c r="G34" s="177"/>
      <c r="H34" s="177"/>
      <c r="I34" s="177"/>
    </row>
    <row r="35" spans="1:13" s="176" customFormat="1" x14ac:dyDescent="0.15">
      <c r="A35" s="135"/>
      <c r="B35" s="135"/>
      <c r="C35" s="177"/>
      <c r="D35" s="177"/>
      <c r="E35" s="177"/>
      <c r="F35" s="177"/>
      <c r="G35" s="177"/>
      <c r="H35" s="177"/>
    </row>
    <row r="36" spans="1:13" s="176" customFormat="1" x14ac:dyDescent="0.15">
      <c r="A36" s="135"/>
      <c r="B36" s="135"/>
      <c r="C36" s="177"/>
      <c r="D36" s="177"/>
      <c r="E36" s="177"/>
      <c r="F36" s="177"/>
      <c r="G36" s="177"/>
      <c r="H36" s="177"/>
    </row>
    <row r="37" spans="1:13" s="176" customFormat="1" x14ac:dyDescent="0.15">
      <c r="A37" s="135"/>
      <c r="B37" s="135"/>
      <c r="C37" s="177"/>
      <c r="D37" s="177"/>
      <c r="E37" s="177"/>
      <c r="F37" s="177"/>
      <c r="G37" s="177"/>
      <c r="H37" s="177"/>
    </row>
    <row r="38" spans="1:13" s="176" customFormat="1" x14ac:dyDescent="0.15">
      <c r="A38" s="135"/>
      <c r="B38" s="135"/>
      <c r="C38" s="177"/>
      <c r="D38" s="177"/>
      <c r="E38" s="177"/>
      <c r="F38" s="177"/>
      <c r="G38" s="177"/>
      <c r="H38" s="177"/>
    </row>
    <row r="39" spans="1:13" s="176" customFormat="1" x14ac:dyDescent="0.15">
      <c r="A39" s="135"/>
      <c r="B39" s="135"/>
      <c r="C39" s="177"/>
      <c r="D39" s="177"/>
      <c r="E39" s="177"/>
      <c r="F39" s="177"/>
      <c r="G39" s="177"/>
      <c r="H39" s="177"/>
    </row>
    <row r="40" spans="1:13" s="176" customFormat="1" x14ac:dyDescent="0.15">
      <c r="A40" s="135"/>
      <c r="B40" s="135"/>
      <c r="C40" s="177"/>
      <c r="D40" s="177"/>
      <c r="E40" s="177"/>
      <c r="F40" s="177"/>
      <c r="G40" s="177"/>
      <c r="H40" s="177"/>
    </row>
    <row r="41" spans="1:13" s="176" customFormat="1" x14ac:dyDescent="0.15">
      <c r="A41" s="135"/>
      <c r="B41" s="135"/>
      <c r="C41" s="177"/>
      <c r="D41" s="177"/>
      <c r="E41" s="177"/>
      <c r="F41" s="177"/>
      <c r="G41" s="177"/>
      <c r="H41" s="177"/>
    </row>
    <row r="42" spans="1:13" s="176" customFormat="1" x14ac:dyDescent="0.15">
      <c r="A42" s="135"/>
      <c r="B42" s="135"/>
    </row>
    <row r="43" spans="1:13" s="176" customFormat="1" x14ac:dyDescent="0.15">
      <c r="A43" s="135"/>
      <c r="B43" s="135"/>
    </row>
    <row r="49" spans="7:7" x14ac:dyDescent="0.15">
      <c r="G49" s="169"/>
    </row>
    <row r="50" spans="7:7" x14ac:dyDescent="0.15">
      <c r="G50" s="169"/>
    </row>
    <row r="51" spans="7:7" x14ac:dyDescent="0.15">
      <c r="G51" s="169"/>
    </row>
    <row r="52" spans="7:7" x14ac:dyDescent="0.15">
      <c r="G52" s="169"/>
    </row>
    <row r="53" spans="7:7" x14ac:dyDescent="0.15">
      <c r="G53" s="169"/>
    </row>
    <row r="54" spans="7:7" x14ac:dyDescent="0.15">
      <c r="G54" s="169"/>
    </row>
    <row r="55" spans="7:7" x14ac:dyDescent="0.15">
      <c r="G55" s="169"/>
    </row>
    <row r="56" spans="7:7" x14ac:dyDescent="0.15">
      <c r="G56" s="169"/>
    </row>
    <row r="57" spans="7:7" x14ac:dyDescent="0.15">
      <c r="G57" s="169"/>
    </row>
    <row r="58" spans="7:7" x14ac:dyDescent="0.15">
      <c r="G58" s="169"/>
    </row>
    <row r="59" spans="7:7" x14ac:dyDescent="0.15">
      <c r="G59" s="169"/>
    </row>
  </sheetData>
  <sheetProtection sheet="1" objects="1" scenarios="1"/>
  <mergeCells count="87">
    <mergeCell ref="I23:I24"/>
    <mergeCell ref="C27:C28"/>
    <mergeCell ref="D27:F27"/>
    <mergeCell ref="G27:H27"/>
    <mergeCell ref="D24:F24"/>
    <mergeCell ref="G24:H24"/>
    <mergeCell ref="D28:F28"/>
    <mergeCell ref="G28:H28"/>
    <mergeCell ref="K27:K28"/>
    <mergeCell ref="K25:K26"/>
    <mergeCell ref="L27:M28"/>
    <mergeCell ref="I25:I26"/>
    <mergeCell ref="I27:I28"/>
    <mergeCell ref="J27:J28"/>
    <mergeCell ref="K23:K24"/>
    <mergeCell ref="L25:M26"/>
    <mergeCell ref="L23:M24"/>
    <mergeCell ref="J23:J24"/>
    <mergeCell ref="J25:J26"/>
    <mergeCell ref="C19:C20"/>
    <mergeCell ref="D19:F19"/>
    <mergeCell ref="G19:H19"/>
    <mergeCell ref="G26:H26"/>
    <mergeCell ref="C23:C24"/>
    <mergeCell ref="D23:F23"/>
    <mergeCell ref="G23:H23"/>
    <mergeCell ref="D22:F22"/>
    <mergeCell ref="G22:H22"/>
    <mergeCell ref="C21:C22"/>
    <mergeCell ref="D21:F21"/>
    <mergeCell ref="C25:C26"/>
    <mergeCell ref="D25:F25"/>
    <mergeCell ref="G25:H25"/>
    <mergeCell ref="D26:F26"/>
    <mergeCell ref="G21:H21"/>
    <mergeCell ref="L21:M22"/>
    <mergeCell ref="L19:M20"/>
    <mergeCell ref="J19:J20"/>
    <mergeCell ref="I19:I20"/>
    <mergeCell ref="I21:I22"/>
    <mergeCell ref="J21:J22"/>
    <mergeCell ref="K21:K22"/>
    <mergeCell ref="K19:K20"/>
    <mergeCell ref="D20:F20"/>
    <mergeCell ref="G20:H20"/>
    <mergeCell ref="L16:M18"/>
    <mergeCell ref="D17:H17"/>
    <mergeCell ref="D18:F18"/>
    <mergeCell ref="G18:H18"/>
    <mergeCell ref="C16:C18"/>
    <mergeCell ref="D16:H16"/>
    <mergeCell ref="I16:I18"/>
    <mergeCell ref="J16:J18"/>
    <mergeCell ref="K16:K18"/>
    <mergeCell ref="K10:M11"/>
    <mergeCell ref="F12:H12"/>
    <mergeCell ref="J12:M12"/>
    <mergeCell ref="F11:I11"/>
    <mergeCell ref="F13:I13"/>
    <mergeCell ref="K13:M14"/>
    <mergeCell ref="C13:D14"/>
    <mergeCell ref="J13:J14"/>
    <mergeCell ref="F10:I10"/>
    <mergeCell ref="C10:D12"/>
    <mergeCell ref="J10:J11"/>
    <mergeCell ref="F14:I14"/>
    <mergeCell ref="K7:M7"/>
    <mergeCell ref="C8:D9"/>
    <mergeCell ref="H8:M8"/>
    <mergeCell ref="F9:H9"/>
    <mergeCell ref="J9:M9"/>
    <mergeCell ref="C32:M32"/>
    <mergeCell ref="C33:M33"/>
    <mergeCell ref="C31:M31"/>
    <mergeCell ref="C1:M1"/>
    <mergeCell ref="C2:M2"/>
    <mergeCell ref="C4:D4"/>
    <mergeCell ref="H4:I4"/>
    <mergeCell ref="L4:M4"/>
    <mergeCell ref="E4:F4"/>
    <mergeCell ref="J4:K4"/>
    <mergeCell ref="C5:D5"/>
    <mergeCell ref="C6:D6"/>
    <mergeCell ref="E5:M5"/>
    <mergeCell ref="E6:M6"/>
    <mergeCell ref="C7:D7"/>
    <mergeCell ref="E7:J7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F10:F11 E7:J7 H8:M8 F13:F14 K6 E5:E6"/>
    <dataValidation imeMode="on" allowBlank="1" showInputMessage="1" showErrorMessage="1" sqref="K10:M11 G19:G28 D19:D28"/>
    <dataValidation imeMode="off" allowBlank="1" showInputMessage="1" showErrorMessage="1" sqref="F8:F9 F12 J9:M9 J12 K19 K21 K23 K25 K27"/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9" orientation="portrait" errors="blank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4"/>
  <sheetViews>
    <sheetView topLeftCell="A4" zoomScaleNormal="100" workbookViewId="0">
      <selection activeCell="R10" sqref="R10"/>
    </sheetView>
  </sheetViews>
  <sheetFormatPr defaultRowHeight="13.5" x14ac:dyDescent="0.15"/>
  <cols>
    <col min="1" max="1" width="11" style="135" customWidth="1"/>
    <col min="2" max="3" width="10" style="135" customWidth="1"/>
    <col min="4" max="4" width="3.75" style="152" customWidth="1"/>
    <col min="5" max="5" width="5" style="152" customWidth="1"/>
    <col min="6" max="6" width="12.75" style="152" customWidth="1"/>
    <col min="7" max="7" width="6.875" style="152" customWidth="1"/>
    <col min="8" max="8" width="15.625" style="152" customWidth="1"/>
    <col min="9" max="9" width="5.75" style="152" customWidth="1"/>
    <col min="10" max="11" width="7.875" style="152" customWidth="1"/>
    <col min="12" max="12" width="10.625" style="152" customWidth="1"/>
    <col min="13" max="13" width="4.375" style="152" customWidth="1"/>
    <col min="14" max="14" width="4" style="152" customWidth="1"/>
    <col min="15" max="16384" width="9" style="152"/>
  </cols>
  <sheetData>
    <row r="1" spans="1:14" ht="30" customHeight="1" thickBot="1" x14ac:dyDescent="0.2">
      <c r="A1" s="134" t="s">
        <v>116</v>
      </c>
      <c r="C1" s="450" t="str">
        <f>男子団体!$C$1</f>
        <v>平成２８年度東北中学校体育大会　第３９回東北中学校柔道大会</v>
      </c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</row>
    <row r="2" spans="1:14" ht="30" customHeight="1" thickBot="1" x14ac:dyDescent="0.2">
      <c r="A2" s="136">
        <f>メインシート!C6</f>
        <v>0</v>
      </c>
      <c r="C2" s="170"/>
      <c r="D2" s="561" t="s">
        <v>199</v>
      </c>
      <c r="E2" s="561"/>
      <c r="F2" s="561"/>
      <c r="G2" s="561"/>
      <c r="H2" s="561"/>
      <c r="I2" s="561"/>
      <c r="J2" s="561"/>
      <c r="K2" s="561"/>
      <c r="L2" s="561"/>
      <c r="M2" s="170"/>
      <c r="N2" s="170"/>
    </row>
    <row r="3" spans="1:14" ht="14.25" thickBot="1" x14ac:dyDescent="0.2"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30" customHeight="1" thickBot="1" x14ac:dyDescent="0.2">
      <c r="A4" s="136">
        <f>メインシート!$C$8</f>
        <v>0</v>
      </c>
      <c r="C4" s="453" t="s">
        <v>15</v>
      </c>
      <c r="D4" s="453"/>
      <c r="E4" s="533" t="e">
        <f>VLOOKUP($A$4,メインシート!$B$13:$D$18,2,0)</f>
        <v>#N/A</v>
      </c>
      <c r="F4" s="534"/>
      <c r="G4" s="156" t="s">
        <v>16</v>
      </c>
      <c r="H4" s="518"/>
      <c r="I4" s="519"/>
      <c r="J4" s="520"/>
      <c r="K4" s="520"/>
      <c r="L4" s="520"/>
      <c r="M4" s="520"/>
      <c r="N4" s="520"/>
    </row>
    <row r="5" spans="1:14" ht="15.75" customHeight="1" x14ac:dyDescent="0.15">
      <c r="C5" s="557" t="s">
        <v>201</v>
      </c>
      <c r="D5" s="558"/>
      <c r="E5" s="521">
        <f>メインシート!$H$5</f>
        <v>0</v>
      </c>
      <c r="F5" s="522"/>
      <c r="G5" s="522"/>
      <c r="H5" s="522"/>
      <c r="I5" s="522"/>
      <c r="J5" s="522"/>
      <c r="K5" s="522"/>
      <c r="L5" s="522"/>
      <c r="M5" s="522"/>
      <c r="N5" s="523"/>
    </row>
    <row r="6" spans="1:14" ht="30" customHeight="1" x14ac:dyDescent="0.15">
      <c r="C6" s="464" t="s">
        <v>0</v>
      </c>
      <c r="D6" s="465"/>
      <c r="E6" s="530">
        <f>メインシート!$H$6</f>
        <v>0</v>
      </c>
      <c r="F6" s="531"/>
      <c r="G6" s="531"/>
      <c r="H6" s="531"/>
      <c r="I6" s="531"/>
      <c r="J6" s="531"/>
      <c r="K6" s="531"/>
      <c r="L6" s="531"/>
      <c r="M6" s="531"/>
      <c r="N6" s="532"/>
    </row>
    <row r="7" spans="1:14" ht="36.75" customHeight="1" x14ac:dyDescent="0.15">
      <c r="C7" s="464" t="s">
        <v>39</v>
      </c>
      <c r="D7" s="465"/>
      <c r="E7" s="524" t="str">
        <f>IF(メインシート!$H$7="","",メインシート!$H$7)</f>
        <v/>
      </c>
      <c r="F7" s="525"/>
      <c r="G7" s="525"/>
      <c r="H7" s="525"/>
      <c r="I7" s="525"/>
      <c r="J7" s="525"/>
      <c r="K7" s="525"/>
      <c r="L7" s="157" t="s">
        <v>40</v>
      </c>
      <c r="M7" s="158"/>
      <c r="N7" s="159"/>
    </row>
    <row r="8" spans="1:14" ht="30" customHeight="1" x14ac:dyDescent="0.15">
      <c r="C8" s="466" t="s">
        <v>25</v>
      </c>
      <c r="D8" s="467"/>
      <c r="E8" s="160" t="s">
        <v>43</v>
      </c>
      <c r="F8" s="161">
        <f>メインシート!$H$8</f>
        <v>0</v>
      </c>
      <c r="G8" s="162" t="s">
        <v>26</v>
      </c>
      <c r="H8" s="582">
        <f>メインシート!$H$9</f>
        <v>0</v>
      </c>
      <c r="I8" s="583"/>
      <c r="J8" s="583"/>
      <c r="K8" s="583"/>
      <c r="L8" s="583"/>
      <c r="M8" s="583"/>
      <c r="N8" s="584"/>
    </row>
    <row r="9" spans="1:14" ht="30" customHeight="1" x14ac:dyDescent="0.15">
      <c r="C9" s="468"/>
      <c r="D9" s="469"/>
      <c r="E9" s="186" t="s">
        <v>44</v>
      </c>
      <c r="F9" s="535">
        <f>メインシート!$H$10</f>
        <v>0</v>
      </c>
      <c r="G9" s="536"/>
      <c r="H9" s="537"/>
      <c r="I9" s="163" t="s">
        <v>45</v>
      </c>
      <c r="J9" s="535">
        <f>メインシート!$H$11</f>
        <v>0</v>
      </c>
      <c r="K9" s="536"/>
      <c r="L9" s="536"/>
      <c r="M9" s="536"/>
      <c r="N9" s="537"/>
    </row>
    <row r="10" spans="1:14" ht="18" customHeight="1" x14ac:dyDescent="0.15">
      <c r="C10" s="466" t="s">
        <v>27</v>
      </c>
      <c r="D10" s="467"/>
      <c r="E10" s="164" t="s">
        <v>24</v>
      </c>
      <c r="F10" s="571" t="str">
        <f>IF(F11="","",VLOOKUP(F11,入力ﾌｫｰﾑ!$C$4:$E$7,3,0))</f>
        <v/>
      </c>
      <c r="G10" s="572"/>
      <c r="H10" s="572"/>
      <c r="I10" s="572"/>
      <c r="J10" s="573"/>
      <c r="K10" s="553" t="s">
        <v>28</v>
      </c>
      <c r="L10" s="540" t="str">
        <f>IF(F11="","",VLOOKUP(F11,入力ﾌｫｰﾑ!$C$4:$E$7,2,0))</f>
        <v/>
      </c>
      <c r="M10" s="567"/>
      <c r="N10" s="541"/>
    </row>
    <row r="11" spans="1:14" ht="37.5" customHeight="1" x14ac:dyDescent="0.15">
      <c r="A11" s="135">
        <f>入力ﾌｫｰﾑ!$A$21</f>
        <v>102001</v>
      </c>
      <c r="C11" s="470"/>
      <c r="D11" s="471"/>
      <c r="E11" s="165" t="s">
        <v>29</v>
      </c>
      <c r="F11" s="574" t="str">
        <f>IF(VLOOKUP($A11,入力ﾌｫｰﾑ!$A$11:$F$27,4,0)="","",VLOOKUP($A11,入力ﾌｫｰﾑ!$A$11:$F$27,4,0))</f>
        <v/>
      </c>
      <c r="G11" s="575"/>
      <c r="H11" s="575"/>
      <c r="I11" s="575"/>
      <c r="J11" s="576"/>
      <c r="K11" s="554"/>
      <c r="L11" s="542"/>
      <c r="M11" s="568"/>
      <c r="N11" s="543"/>
    </row>
    <row r="12" spans="1:14" ht="30" customHeight="1" x14ac:dyDescent="0.15">
      <c r="A12" s="135">
        <f>入力ﾌｫｰﾑ!$A$21</f>
        <v>102001</v>
      </c>
      <c r="C12" s="468"/>
      <c r="D12" s="469"/>
      <c r="E12" s="186" t="s">
        <v>44</v>
      </c>
      <c r="F12" s="579" t="str">
        <f>IF(VLOOKUP($A12,入力ﾌｫｰﾑ!$A$11:$F$27,5,0)="","",VLOOKUP($A12,入力ﾌｫｰﾑ!$A$11:$F$27,5,0))</f>
        <v/>
      </c>
      <c r="G12" s="580"/>
      <c r="H12" s="581"/>
      <c r="I12" s="163" t="s">
        <v>30</v>
      </c>
      <c r="J12" s="535" t="str">
        <f>IF(VLOOKUP($A12,入力ﾌｫｰﾑ!$A$11:$F$27,6,0)="","",VLOOKUP($A12,入力ﾌｫｰﾑ!$A$11:$F$27,6,0))</f>
        <v/>
      </c>
      <c r="K12" s="536"/>
      <c r="L12" s="536"/>
      <c r="M12" s="536"/>
      <c r="N12" s="537"/>
    </row>
    <row r="13" spans="1:14" ht="18" customHeight="1" x14ac:dyDescent="0.15">
      <c r="C13" s="466" t="s">
        <v>41</v>
      </c>
      <c r="D13" s="467"/>
      <c r="E13" s="164" t="s">
        <v>24</v>
      </c>
      <c r="F13" s="571" t="str">
        <f>IF(F14="","",VLOOKUP(F14,入力ﾌｫｰﾑ!$C$4:$E$7,3,0))</f>
        <v/>
      </c>
      <c r="G13" s="572"/>
      <c r="H13" s="572"/>
      <c r="I13" s="572"/>
      <c r="J13" s="573"/>
      <c r="K13" s="553" t="s">
        <v>33</v>
      </c>
      <c r="L13" s="472" t="str">
        <f>IF(F14="","",VLOOKUP(F14,メインシート!$H$13:$R$19,9,0))</f>
        <v/>
      </c>
      <c r="M13" s="473"/>
      <c r="N13" s="474"/>
    </row>
    <row r="14" spans="1:14" ht="37.5" customHeight="1" x14ac:dyDescent="0.15">
      <c r="A14" s="135">
        <f>入力ﾌｫｰﾑ!$A$22</f>
        <v>102002</v>
      </c>
      <c r="C14" s="468"/>
      <c r="D14" s="469"/>
      <c r="E14" s="165" t="s">
        <v>29</v>
      </c>
      <c r="F14" s="574" t="str">
        <f>IF(VLOOKUP($A14,入力ﾌｫｰﾑ!$A$11:$F$27,4,0)="","",VLOOKUP($A14,入力ﾌｫｰﾑ!$A$11:$F$27,4,0))</f>
        <v/>
      </c>
      <c r="G14" s="575"/>
      <c r="H14" s="575"/>
      <c r="I14" s="575"/>
      <c r="J14" s="576"/>
      <c r="K14" s="554"/>
      <c r="L14" s="475"/>
      <c r="M14" s="476"/>
      <c r="N14" s="477"/>
    </row>
    <row r="15" spans="1:14" x14ac:dyDescent="0.15"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spans="1:14" ht="27" customHeight="1" x14ac:dyDescent="0.15">
      <c r="C16" s="478" t="s">
        <v>13</v>
      </c>
      <c r="D16" s="562" t="s">
        <v>31</v>
      </c>
      <c r="E16" s="563"/>
      <c r="F16" s="577" t="s">
        <v>32</v>
      </c>
      <c r="G16" s="578"/>
      <c r="H16" s="578"/>
      <c r="I16" s="578"/>
      <c r="J16" s="484" t="s">
        <v>11</v>
      </c>
      <c r="K16" s="484" t="s">
        <v>36</v>
      </c>
      <c r="L16" s="484" t="s">
        <v>34</v>
      </c>
      <c r="M16" s="492" t="s">
        <v>12</v>
      </c>
      <c r="N16" s="493"/>
    </row>
    <row r="17" spans="3:14" ht="13.5" customHeight="1" x14ac:dyDescent="0.15">
      <c r="C17" s="479"/>
      <c r="D17" s="564"/>
      <c r="E17" s="565"/>
      <c r="F17" s="497" t="s">
        <v>24</v>
      </c>
      <c r="G17" s="551"/>
      <c r="H17" s="551"/>
      <c r="I17" s="552"/>
      <c r="J17" s="485"/>
      <c r="K17" s="485"/>
      <c r="L17" s="485"/>
      <c r="M17" s="494"/>
      <c r="N17" s="495"/>
    </row>
    <row r="18" spans="3:14" ht="17.25" customHeight="1" x14ac:dyDescent="0.15">
      <c r="C18" s="480"/>
      <c r="D18" s="566"/>
      <c r="E18" s="501"/>
      <c r="F18" s="549" t="s">
        <v>37</v>
      </c>
      <c r="G18" s="550"/>
      <c r="H18" s="555" t="s">
        <v>38</v>
      </c>
      <c r="I18" s="556"/>
      <c r="J18" s="486"/>
      <c r="K18" s="486"/>
      <c r="L18" s="486"/>
      <c r="M18" s="569"/>
      <c r="N18" s="570"/>
    </row>
    <row r="19" spans="3:14" ht="20.100000000000001" customHeight="1" x14ac:dyDescent="0.15">
      <c r="C19" s="559" t="str">
        <f>IF(入力ﾌｫｰﾑ!$V20="","",IF(VALUE(LEFT(入力ﾌｫｰﾑ!$V20,2))=91,"90㎏超級",CONCATENATE(LEFT(入力ﾌｫｰﾑ!$V20,2),"㎏級")))</f>
        <v/>
      </c>
      <c r="D19" s="540" t="str">
        <f>IF(入力ﾌｫｰﾑ!$V20="","",RIGHT(入力ﾌｫｰﾑ!$V20,1))</f>
        <v/>
      </c>
      <c r="E19" s="541"/>
      <c r="F19" s="547" t="str">
        <f>IF(入力ﾌｫｰﾑ!$V20="","",VLOOKUP(入力ﾌｫｰﾑ!$V20,入力ﾌｫｰﾑ!$V$20:$AF$27,6,0))</f>
        <v/>
      </c>
      <c r="G19" s="548"/>
      <c r="H19" s="538" t="str">
        <f>IF(入力ﾌｫｰﾑ!$V20="","",VLOOKUP(入力ﾌｫｰﾑ!$V20,入力ﾌｫｰﾑ!$V$20:$AF$27,7,0))</f>
        <v/>
      </c>
      <c r="I19" s="539"/>
      <c r="J19" s="526" t="str">
        <f>IF(入力ﾌｫｰﾑ!$V20="","",VLOOKUP(入力ﾌｫｰﾑ!$V20,入力ﾌｫｰﾑ!$V$20:$AF$27,8,0))</f>
        <v/>
      </c>
      <c r="K19" s="526" t="str">
        <f>IF(入力ﾌｫｰﾑ!$V20="","",VLOOKUP(入力ﾌｫｰﾑ!$V20,入力ﾌｫｰﾑ!$V$20:$AF$27,9,0))</f>
        <v/>
      </c>
      <c r="L19" s="516" t="str">
        <f>IF(入力ﾌｫｰﾑ!$V20="","",VLOOKUP(入力ﾌｫｰﾑ!$V20,入力ﾌｫｰﾑ!$V$20:$AF$27,10,0))</f>
        <v/>
      </c>
      <c r="M19" s="512" t="str">
        <f>IF(入力ﾌｫｰﾑ!$V20="","",VLOOKUP(入力ﾌｫｰﾑ!$V20,入力ﾌｫｰﾑ!$V$20:$AF$27,11,0))</f>
        <v/>
      </c>
      <c r="N19" s="513"/>
    </row>
    <row r="20" spans="3:14" ht="37.5" customHeight="1" x14ac:dyDescent="0.15">
      <c r="C20" s="560"/>
      <c r="D20" s="542"/>
      <c r="E20" s="543"/>
      <c r="F20" s="545" t="str">
        <f>IF(入力ﾌｫｰﾑ!$V20="","",VLOOKUP(入力ﾌｫｰﾑ!$V20,入力ﾌｫｰﾑ!$V$20:$AF$27,4,0))</f>
        <v/>
      </c>
      <c r="G20" s="546"/>
      <c r="H20" s="528" t="str">
        <f>IF(入力ﾌｫｰﾑ!$V20="","",VLOOKUP(入力ﾌｫｰﾑ!$V20,入力ﾌｫｰﾑ!$V$20:$AF$27,5,0))</f>
        <v/>
      </c>
      <c r="I20" s="529"/>
      <c r="J20" s="527"/>
      <c r="K20" s="527"/>
      <c r="L20" s="517"/>
      <c r="M20" s="514"/>
      <c r="N20" s="515"/>
    </row>
    <row r="21" spans="3:14" ht="20.100000000000001" customHeight="1" x14ac:dyDescent="0.15">
      <c r="C21" s="559" t="str">
        <f>IF(入力ﾌｫｰﾑ!$V21="","",IF(VALUE(LEFT(入力ﾌｫｰﾑ!$V21,2))=91,"90㎏超級",CONCATENATE(LEFT(入力ﾌｫｰﾑ!$V21,2),"㎏級")))</f>
        <v/>
      </c>
      <c r="D21" s="540" t="str">
        <f>IF(入力ﾌｫｰﾑ!$V21="","",RIGHT(入力ﾌｫｰﾑ!$V21,1))</f>
        <v/>
      </c>
      <c r="E21" s="541"/>
      <c r="F21" s="547" t="str">
        <f>IF(入力ﾌｫｰﾑ!$V21="","",VLOOKUP(入力ﾌｫｰﾑ!$V21,入力ﾌｫｰﾑ!$V$20:$AF$27,6,0))</f>
        <v/>
      </c>
      <c r="G21" s="548"/>
      <c r="H21" s="538" t="str">
        <f>IF(入力ﾌｫｰﾑ!$V21="","",VLOOKUP(入力ﾌｫｰﾑ!$V21,入力ﾌｫｰﾑ!$V$20:$AF$27,7,0))</f>
        <v/>
      </c>
      <c r="I21" s="539"/>
      <c r="J21" s="526" t="str">
        <f>IF(入力ﾌｫｰﾑ!$V21="","",VLOOKUP(入力ﾌｫｰﾑ!$V21,入力ﾌｫｰﾑ!$V$20:$AF$27,8,0))</f>
        <v/>
      </c>
      <c r="K21" s="526" t="str">
        <f>IF(入力ﾌｫｰﾑ!$V21="","",VLOOKUP(入力ﾌｫｰﾑ!$V21,入力ﾌｫｰﾑ!$V$20:$AF$27,9,0))</f>
        <v/>
      </c>
      <c r="L21" s="516" t="str">
        <f>IF(入力ﾌｫｰﾑ!$V21="","",VLOOKUP(入力ﾌｫｰﾑ!$V21,入力ﾌｫｰﾑ!$V$20:$AF$27,10,0))</f>
        <v/>
      </c>
      <c r="M21" s="512" t="str">
        <f>IF(入力ﾌｫｰﾑ!$V21="","",VLOOKUP(入力ﾌｫｰﾑ!$V21,入力ﾌｫｰﾑ!$V$20:$AF$27,11,0))</f>
        <v/>
      </c>
      <c r="N21" s="513"/>
    </row>
    <row r="22" spans="3:14" ht="37.5" customHeight="1" x14ac:dyDescent="0.15">
      <c r="C22" s="560"/>
      <c r="D22" s="542"/>
      <c r="E22" s="543"/>
      <c r="F22" s="545" t="str">
        <f>IF(入力ﾌｫｰﾑ!$V21="","",VLOOKUP(入力ﾌｫｰﾑ!$V21,入力ﾌｫｰﾑ!$V$20:$AF$27,4,0))</f>
        <v/>
      </c>
      <c r="G22" s="546"/>
      <c r="H22" s="528" t="str">
        <f>IF(入力ﾌｫｰﾑ!$V21="","",VLOOKUP(入力ﾌｫｰﾑ!$V21,入力ﾌｫｰﾑ!$V$20:$AF$27,5,0))</f>
        <v/>
      </c>
      <c r="I22" s="529"/>
      <c r="J22" s="527"/>
      <c r="K22" s="527"/>
      <c r="L22" s="517"/>
      <c r="M22" s="514"/>
      <c r="N22" s="515"/>
    </row>
    <row r="23" spans="3:14" ht="20.100000000000001" customHeight="1" x14ac:dyDescent="0.15">
      <c r="C23" s="559" t="str">
        <f>IF(入力ﾌｫｰﾑ!$V22="","",IF(VALUE(LEFT(入力ﾌｫｰﾑ!$V22,2))=91,"90㎏超級",CONCATENATE(LEFT(入力ﾌｫｰﾑ!$V22,2),"㎏級")))</f>
        <v/>
      </c>
      <c r="D23" s="540" t="str">
        <f>IF(入力ﾌｫｰﾑ!$V22="","",RIGHT(入力ﾌｫｰﾑ!$V22,1))</f>
        <v/>
      </c>
      <c r="E23" s="541"/>
      <c r="F23" s="547" t="str">
        <f>IF(入力ﾌｫｰﾑ!$V22="","",VLOOKUP(入力ﾌｫｰﾑ!$V22,入力ﾌｫｰﾑ!$V$20:$AF$27,6,0))</f>
        <v/>
      </c>
      <c r="G23" s="548"/>
      <c r="H23" s="538" t="str">
        <f>IF(入力ﾌｫｰﾑ!$V22="","",VLOOKUP(入力ﾌｫｰﾑ!$V22,入力ﾌｫｰﾑ!$V$20:$AF$27,7,0))</f>
        <v/>
      </c>
      <c r="I23" s="539"/>
      <c r="J23" s="526" t="str">
        <f>IF(入力ﾌｫｰﾑ!$V22="","",VLOOKUP(入力ﾌｫｰﾑ!$V22,入力ﾌｫｰﾑ!$V$20:$AF$27,8,0))</f>
        <v/>
      </c>
      <c r="K23" s="526" t="str">
        <f>IF(入力ﾌｫｰﾑ!$V22="","",VLOOKUP(入力ﾌｫｰﾑ!$V22,入力ﾌｫｰﾑ!$V$20:$AF$27,9,0))</f>
        <v/>
      </c>
      <c r="L23" s="516" t="str">
        <f>IF(入力ﾌｫｰﾑ!$V22="","",VLOOKUP(入力ﾌｫｰﾑ!$V22,入力ﾌｫｰﾑ!$V$20:$AF$27,10,0))</f>
        <v/>
      </c>
      <c r="M23" s="512" t="str">
        <f>IF(入力ﾌｫｰﾑ!$V22="","",VLOOKUP(入力ﾌｫｰﾑ!$V22,入力ﾌｫｰﾑ!$V$20:$AF$27,11,0))</f>
        <v/>
      </c>
      <c r="N23" s="513"/>
    </row>
    <row r="24" spans="3:14" ht="37.5" customHeight="1" x14ac:dyDescent="0.15">
      <c r="C24" s="560"/>
      <c r="D24" s="542"/>
      <c r="E24" s="543"/>
      <c r="F24" s="545" t="str">
        <f>IF(入力ﾌｫｰﾑ!$V22="","",VLOOKUP(入力ﾌｫｰﾑ!$V22,入力ﾌｫｰﾑ!$V$20:$AF$27,4,0))</f>
        <v/>
      </c>
      <c r="G24" s="546"/>
      <c r="H24" s="528" t="str">
        <f>IF(入力ﾌｫｰﾑ!$V22="","",VLOOKUP(入力ﾌｫｰﾑ!$V22,入力ﾌｫｰﾑ!$V$20:$AF$27,5,0))</f>
        <v/>
      </c>
      <c r="I24" s="529"/>
      <c r="J24" s="527"/>
      <c r="K24" s="527"/>
      <c r="L24" s="517"/>
      <c r="M24" s="514"/>
      <c r="N24" s="515"/>
    </row>
    <row r="25" spans="3:14" ht="20.100000000000001" customHeight="1" x14ac:dyDescent="0.15">
      <c r="C25" s="559" t="str">
        <f>IF(入力ﾌｫｰﾑ!$V23="","",IF(VALUE(LEFT(入力ﾌｫｰﾑ!$V23,2))=91,"90㎏超級",CONCATENATE(LEFT(入力ﾌｫｰﾑ!$V23,2),"㎏級")))</f>
        <v/>
      </c>
      <c r="D25" s="540" t="str">
        <f>IF(入力ﾌｫｰﾑ!$V23="","",RIGHT(入力ﾌｫｰﾑ!$V23,1))</f>
        <v/>
      </c>
      <c r="E25" s="541"/>
      <c r="F25" s="547" t="str">
        <f>IF(入力ﾌｫｰﾑ!$V23="","",VLOOKUP(入力ﾌｫｰﾑ!$V23,入力ﾌｫｰﾑ!$V$20:$AF$27,6,0))</f>
        <v/>
      </c>
      <c r="G25" s="548"/>
      <c r="H25" s="538" t="str">
        <f>IF(入力ﾌｫｰﾑ!$V23="","",VLOOKUP(入力ﾌｫｰﾑ!$V23,入力ﾌｫｰﾑ!$V$20:$AF$27,7,0))</f>
        <v/>
      </c>
      <c r="I25" s="539"/>
      <c r="J25" s="526" t="str">
        <f>IF(入力ﾌｫｰﾑ!$V23="","",VLOOKUP(入力ﾌｫｰﾑ!$V23,入力ﾌｫｰﾑ!$V$20:$AF$27,8,0))</f>
        <v/>
      </c>
      <c r="K25" s="526" t="str">
        <f>IF(入力ﾌｫｰﾑ!$V23="","",VLOOKUP(入力ﾌｫｰﾑ!$V23,入力ﾌｫｰﾑ!$V$20:$AF$27,9,0))</f>
        <v/>
      </c>
      <c r="L25" s="516" t="str">
        <f>IF(入力ﾌｫｰﾑ!$V23="","",VLOOKUP(入力ﾌｫｰﾑ!$V23,入力ﾌｫｰﾑ!$V$20:$AF$27,10,0))</f>
        <v/>
      </c>
      <c r="M25" s="512" t="str">
        <f>IF(入力ﾌｫｰﾑ!$V23="","",VLOOKUP(入力ﾌｫｰﾑ!$V23,入力ﾌｫｰﾑ!$V$20:$AF$27,11,0))</f>
        <v/>
      </c>
      <c r="N25" s="513"/>
    </row>
    <row r="26" spans="3:14" ht="37.5" customHeight="1" x14ac:dyDescent="0.15">
      <c r="C26" s="560"/>
      <c r="D26" s="542"/>
      <c r="E26" s="543"/>
      <c r="F26" s="545" t="str">
        <f>IF(入力ﾌｫｰﾑ!$V23="","",VLOOKUP(入力ﾌｫｰﾑ!$V23,入力ﾌｫｰﾑ!$V$20:$AF$27,4,0))</f>
        <v/>
      </c>
      <c r="G26" s="546"/>
      <c r="H26" s="528" t="str">
        <f>IF(入力ﾌｫｰﾑ!$V23="","",VLOOKUP(入力ﾌｫｰﾑ!$V23,入力ﾌｫｰﾑ!$V$20:$AF$27,5,0))</f>
        <v/>
      </c>
      <c r="I26" s="529"/>
      <c r="J26" s="527"/>
      <c r="K26" s="527"/>
      <c r="L26" s="517"/>
      <c r="M26" s="514"/>
      <c r="N26" s="515"/>
    </row>
    <row r="27" spans="3:14" ht="20.100000000000001" customHeight="1" x14ac:dyDescent="0.15">
      <c r="C27" s="559" t="str">
        <f>IF(入力ﾌｫｰﾑ!$V24="","",IF(VALUE(LEFT(入力ﾌｫｰﾑ!$V24,2))=91,"90㎏超級",CONCATENATE(LEFT(入力ﾌｫｰﾑ!$V24,2),"㎏級")))</f>
        <v/>
      </c>
      <c r="D27" s="540" t="str">
        <f>IF(入力ﾌｫｰﾑ!$V24="","",RIGHT(入力ﾌｫｰﾑ!$V24,1))</f>
        <v/>
      </c>
      <c r="E27" s="541"/>
      <c r="F27" s="547" t="str">
        <f>IF(入力ﾌｫｰﾑ!$V24="","",VLOOKUP(入力ﾌｫｰﾑ!$V24,入力ﾌｫｰﾑ!$V$20:$AF$27,6,0))</f>
        <v/>
      </c>
      <c r="G27" s="548"/>
      <c r="H27" s="538" t="str">
        <f>IF(入力ﾌｫｰﾑ!$V24="","",VLOOKUP(入力ﾌｫｰﾑ!$V24,入力ﾌｫｰﾑ!$V$20:$AF$27,7,0))</f>
        <v/>
      </c>
      <c r="I27" s="539"/>
      <c r="J27" s="526" t="str">
        <f>IF(入力ﾌｫｰﾑ!$V24="","",VLOOKUP(入力ﾌｫｰﾑ!$V24,入力ﾌｫｰﾑ!$V$20:$AF$27,8,0))</f>
        <v/>
      </c>
      <c r="K27" s="526" t="str">
        <f>IF(入力ﾌｫｰﾑ!$V24="","",VLOOKUP(入力ﾌｫｰﾑ!$V24,入力ﾌｫｰﾑ!$V$20:$AF$27,9,0))</f>
        <v/>
      </c>
      <c r="L27" s="516" t="str">
        <f>IF(入力ﾌｫｰﾑ!$V24="","",VLOOKUP(入力ﾌｫｰﾑ!$V24,入力ﾌｫｰﾑ!$V$20:$AF$27,10,0))</f>
        <v/>
      </c>
      <c r="M27" s="512" t="str">
        <f>IF(入力ﾌｫｰﾑ!$V24="","",VLOOKUP(入力ﾌｫｰﾑ!$V24,入力ﾌｫｰﾑ!$V$20:$AF$27,11,0))</f>
        <v/>
      </c>
      <c r="N27" s="513"/>
    </row>
    <row r="28" spans="3:14" ht="37.5" customHeight="1" x14ac:dyDescent="0.15">
      <c r="C28" s="560"/>
      <c r="D28" s="542"/>
      <c r="E28" s="543"/>
      <c r="F28" s="545" t="str">
        <f>IF(入力ﾌｫｰﾑ!$V24="","",VLOOKUP(入力ﾌｫｰﾑ!$V24,入力ﾌｫｰﾑ!$V$20:$AF$27,4,0))</f>
        <v/>
      </c>
      <c r="G28" s="546"/>
      <c r="H28" s="528" t="str">
        <f>IF(入力ﾌｫｰﾑ!$V24="","",VLOOKUP(入力ﾌｫｰﾑ!$V24,入力ﾌｫｰﾑ!$V$20:$AF$27,5,0))</f>
        <v/>
      </c>
      <c r="I28" s="529"/>
      <c r="J28" s="527"/>
      <c r="K28" s="527"/>
      <c r="L28" s="517"/>
      <c r="M28" s="514"/>
      <c r="N28" s="515"/>
    </row>
    <row r="29" spans="3:14" ht="20.100000000000001" customHeight="1" x14ac:dyDescent="0.15">
      <c r="C29" s="559" t="str">
        <f>IF(入力ﾌｫｰﾑ!$V25="","",IF(VALUE(LEFT(入力ﾌｫｰﾑ!$V25,2))=91,"90㎏超級",CONCATENATE(LEFT(入力ﾌｫｰﾑ!$V25,2),"㎏級")))</f>
        <v/>
      </c>
      <c r="D29" s="540" t="str">
        <f>IF(入力ﾌｫｰﾑ!$V25="","",RIGHT(入力ﾌｫｰﾑ!$V25,1))</f>
        <v/>
      </c>
      <c r="E29" s="541"/>
      <c r="F29" s="547" t="str">
        <f>IF(入力ﾌｫｰﾑ!$V25="","",VLOOKUP(入力ﾌｫｰﾑ!$V25,入力ﾌｫｰﾑ!$V$20:$AF$27,6,0))</f>
        <v/>
      </c>
      <c r="G29" s="548"/>
      <c r="H29" s="538" t="str">
        <f>IF(入力ﾌｫｰﾑ!$V25="","",VLOOKUP(入力ﾌｫｰﾑ!$V25,入力ﾌｫｰﾑ!$V$20:$AF$27,7,0))</f>
        <v/>
      </c>
      <c r="I29" s="539"/>
      <c r="J29" s="526" t="str">
        <f>IF(入力ﾌｫｰﾑ!$V25="","",VLOOKUP(入力ﾌｫｰﾑ!$V25,入力ﾌｫｰﾑ!$V$20:$AF$27,8,0))</f>
        <v/>
      </c>
      <c r="K29" s="526" t="str">
        <f>IF(入力ﾌｫｰﾑ!$V25="","",VLOOKUP(入力ﾌｫｰﾑ!$V25,入力ﾌｫｰﾑ!$V$20:$AF$27,9,0))</f>
        <v/>
      </c>
      <c r="L29" s="516" t="str">
        <f>IF(入力ﾌｫｰﾑ!$V25="","",VLOOKUP(入力ﾌｫｰﾑ!$V25,入力ﾌｫｰﾑ!$V$20:$AF$27,10,0))</f>
        <v/>
      </c>
      <c r="M29" s="512" t="str">
        <f>IF(入力ﾌｫｰﾑ!$V25="","",VLOOKUP(入力ﾌｫｰﾑ!$V25,入力ﾌｫｰﾑ!$V$20:$AF$27,11,0))</f>
        <v/>
      </c>
      <c r="N29" s="513"/>
    </row>
    <row r="30" spans="3:14" ht="37.5" customHeight="1" x14ac:dyDescent="0.15">
      <c r="C30" s="560"/>
      <c r="D30" s="542"/>
      <c r="E30" s="543"/>
      <c r="F30" s="545" t="str">
        <f>IF(入力ﾌｫｰﾑ!$V25="","",VLOOKUP(入力ﾌｫｰﾑ!$V25,入力ﾌｫｰﾑ!$V$20:$AF$27,4,0))</f>
        <v/>
      </c>
      <c r="G30" s="546"/>
      <c r="H30" s="528" t="str">
        <f>IF(入力ﾌｫｰﾑ!$V25="","",VLOOKUP(入力ﾌｫｰﾑ!$V25,入力ﾌｫｰﾑ!$V$20:$AF$27,5,0))</f>
        <v/>
      </c>
      <c r="I30" s="529"/>
      <c r="J30" s="527"/>
      <c r="K30" s="527"/>
      <c r="L30" s="517"/>
      <c r="M30" s="514"/>
      <c r="N30" s="515"/>
    </row>
    <row r="31" spans="3:14" ht="20.100000000000001" customHeight="1" x14ac:dyDescent="0.15">
      <c r="C31" s="559" t="str">
        <f>IF(入力ﾌｫｰﾑ!$V26="","",IF(VALUE(LEFT(入力ﾌｫｰﾑ!$V26,2))=91,"90㎏超級",CONCATENATE(LEFT(入力ﾌｫｰﾑ!$V26,2),"㎏級")))</f>
        <v/>
      </c>
      <c r="D31" s="540" t="str">
        <f>IF(入力ﾌｫｰﾑ!$V26="","",RIGHT(入力ﾌｫｰﾑ!$V26,1))</f>
        <v/>
      </c>
      <c r="E31" s="541"/>
      <c r="F31" s="547" t="str">
        <f>IF(入力ﾌｫｰﾑ!$V26="","",VLOOKUP(入力ﾌｫｰﾑ!$V26,入力ﾌｫｰﾑ!$V$20:$AF$27,6,0))</f>
        <v/>
      </c>
      <c r="G31" s="548"/>
      <c r="H31" s="538" t="str">
        <f>IF(入力ﾌｫｰﾑ!$V26="","",VLOOKUP(入力ﾌｫｰﾑ!$V26,入力ﾌｫｰﾑ!$V$20:$AF$27,7,0))</f>
        <v/>
      </c>
      <c r="I31" s="539"/>
      <c r="J31" s="526" t="str">
        <f>IF(入力ﾌｫｰﾑ!$V26="","",VLOOKUP(入力ﾌｫｰﾑ!$V26,入力ﾌｫｰﾑ!$V$20:$AF$27,8,0))</f>
        <v/>
      </c>
      <c r="K31" s="526" t="str">
        <f>IF(入力ﾌｫｰﾑ!$V26="","",VLOOKUP(入力ﾌｫｰﾑ!$V26,入力ﾌｫｰﾑ!$V$20:$AF$27,9,0))</f>
        <v/>
      </c>
      <c r="L31" s="516" t="str">
        <f>IF(入力ﾌｫｰﾑ!$V26="","",VLOOKUP(入力ﾌｫｰﾑ!$V26,入力ﾌｫｰﾑ!$V$20:$AF$27,10,0))</f>
        <v/>
      </c>
      <c r="M31" s="512" t="str">
        <f>IF(入力ﾌｫｰﾑ!$V26="","",VLOOKUP(入力ﾌｫｰﾑ!$V26,入力ﾌｫｰﾑ!$V$20:$AF$27,11,0))</f>
        <v/>
      </c>
      <c r="N31" s="513"/>
    </row>
    <row r="32" spans="3:14" ht="37.5" customHeight="1" x14ac:dyDescent="0.15">
      <c r="C32" s="560"/>
      <c r="D32" s="542"/>
      <c r="E32" s="543"/>
      <c r="F32" s="545" t="str">
        <f>IF(入力ﾌｫｰﾑ!$V26="","",VLOOKUP(入力ﾌｫｰﾑ!$V26,入力ﾌｫｰﾑ!$V$20:$AF$27,4,0))</f>
        <v/>
      </c>
      <c r="G32" s="546"/>
      <c r="H32" s="528" t="str">
        <f>IF(入力ﾌｫｰﾑ!$V26="","",VLOOKUP(入力ﾌｫｰﾑ!$V26,入力ﾌｫｰﾑ!$V$20:$AF$27,5,0))</f>
        <v/>
      </c>
      <c r="I32" s="529"/>
      <c r="J32" s="527"/>
      <c r="K32" s="527"/>
      <c r="L32" s="517"/>
      <c r="M32" s="514"/>
      <c r="N32" s="515"/>
    </row>
    <row r="33" spans="3:14" ht="20.100000000000001" customHeight="1" x14ac:dyDescent="0.15">
      <c r="C33" s="559" t="str">
        <f>IF(入力ﾌｫｰﾑ!$V27="","",IF(VALUE(LEFT(入力ﾌｫｰﾑ!$V27,2))=91,"90㎏超級",CONCATENATE(LEFT(入力ﾌｫｰﾑ!$V27,2),"㎏級")))</f>
        <v/>
      </c>
      <c r="D33" s="540" t="str">
        <f>IF(入力ﾌｫｰﾑ!$V27="","",RIGHT(入力ﾌｫｰﾑ!$V27,1))</f>
        <v/>
      </c>
      <c r="E33" s="541"/>
      <c r="F33" s="547" t="str">
        <f>IF(入力ﾌｫｰﾑ!$V27="","",VLOOKUP(入力ﾌｫｰﾑ!$V27,入力ﾌｫｰﾑ!$V$20:$AF$27,6,0))</f>
        <v/>
      </c>
      <c r="G33" s="548"/>
      <c r="H33" s="538" t="str">
        <f>IF(入力ﾌｫｰﾑ!$V27="","",VLOOKUP(入力ﾌｫｰﾑ!$V27,入力ﾌｫｰﾑ!$V$20:$AF$27,7,0))</f>
        <v/>
      </c>
      <c r="I33" s="539"/>
      <c r="J33" s="526" t="str">
        <f>IF(入力ﾌｫｰﾑ!$V27="","",VLOOKUP(入力ﾌｫｰﾑ!$V27,入力ﾌｫｰﾑ!$V$20:$AF$27,8,0))</f>
        <v/>
      </c>
      <c r="K33" s="526" t="str">
        <f>IF(入力ﾌｫｰﾑ!$V27="","",VLOOKUP(入力ﾌｫｰﾑ!$V27,入力ﾌｫｰﾑ!$V$20:$AF$27,9,0))</f>
        <v/>
      </c>
      <c r="L33" s="516" t="str">
        <f>IF(入力ﾌｫｰﾑ!$V27="","",VLOOKUP(入力ﾌｫｰﾑ!$V27,入力ﾌｫｰﾑ!$V$20:$AF$27,10,0))</f>
        <v/>
      </c>
      <c r="M33" s="512" t="str">
        <f>IF(入力ﾌｫｰﾑ!$V27="","",VLOOKUP(入力ﾌｫｰﾑ!$V27,入力ﾌｫｰﾑ!$V$20:$AF$27,11,0))</f>
        <v/>
      </c>
      <c r="N33" s="513"/>
    </row>
    <row r="34" spans="3:14" ht="37.5" customHeight="1" x14ac:dyDescent="0.15">
      <c r="C34" s="560"/>
      <c r="D34" s="542"/>
      <c r="E34" s="543"/>
      <c r="F34" s="545" t="str">
        <f>IF(入力ﾌｫｰﾑ!$V27="","",VLOOKUP(入力ﾌｫｰﾑ!$V27,入力ﾌｫｰﾑ!$V$20:$AF$27,4,0))</f>
        <v/>
      </c>
      <c r="G34" s="546"/>
      <c r="H34" s="528" t="str">
        <f>IF(入力ﾌｫｰﾑ!$V27="","",VLOOKUP(入力ﾌｫｰﾑ!$V27,入力ﾌｫｰﾑ!$V$20:$AF$27,5,0))</f>
        <v/>
      </c>
      <c r="I34" s="529"/>
      <c r="J34" s="527"/>
      <c r="K34" s="527"/>
      <c r="L34" s="517"/>
      <c r="M34" s="514"/>
      <c r="N34" s="515"/>
    </row>
    <row r="35" spans="3:14" ht="7.5" customHeight="1" x14ac:dyDescent="0.15">
      <c r="D35" s="167"/>
      <c r="E35" s="167"/>
      <c r="F35" s="167"/>
      <c r="G35" s="167"/>
      <c r="H35" s="167"/>
      <c r="I35" s="167"/>
      <c r="J35" s="544"/>
      <c r="K35" s="544"/>
      <c r="L35" s="544"/>
      <c r="M35" s="544"/>
      <c r="N35" s="544"/>
    </row>
    <row r="36" spans="3:14" ht="24" customHeight="1" x14ac:dyDescent="0.15">
      <c r="C36" s="511" t="str">
        <f>IF(入力ﾌｫｰﾑ!$F$3="","（　　　）　大会出場者（引率・監督・コーチ・選手）の宿泊申込については，指定業者を通して申し込みます。","（　○　）　大会出場者（引率・監督・コーチ・選手）の宿泊申込については，指定業者を通して申し込みます。")</f>
        <v>（　　　）　大会出場者（引率・監督・コーチ・選手）の宿泊申込については，指定業者を通して申し込みます。</v>
      </c>
      <c r="D36" s="511"/>
      <c r="E36" s="511"/>
      <c r="F36" s="511"/>
      <c r="G36" s="511"/>
      <c r="H36" s="511"/>
      <c r="I36" s="511"/>
      <c r="J36" s="511"/>
      <c r="K36" s="511"/>
      <c r="L36" s="511"/>
      <c r="M36" s="511"/>
      <c r="N36" s="511"/>
    </row>
    <row r="37" spans="3:14" ht="24" customHeight="1" x14ac:dyDescent="0.15">
      <c r="C37" s="511" t="str">
        <f>IF(入力ﾌｫｰﾑ!$F$3="","（　○　）　今回は宿泊を行わずに大会に参加します。","（　　　）　今回は宿泊を行わずに大会に参加します。")</f>
        <v>（　○　）　今回は宿泊を行わずに大会に参加します。</v>
      </c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</row>
    <row r="38" spans="3:14" ht="24" customHeight="1" x14ac:dyDescent="0.15">
      <c r="C38" s="368" t="s">
        <v>220</v>
      </c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</row>
    <row r="40" spans="3:14" x14ac:dyDescent="0.15">
      <c r="D40" s="168"/>
      <c r="E40" s="168"/>
      <c r="F40" s="168"/>
      <c r="G40" s="168"/>
      <c r="H40" s="168"/>
      <c r="I40" s="168"/>
      <c r="J40" s="168"/>
    </row>
    <row r="41" spans="3:14" x14ac:dyDescent="0.15">
      <c r="D41" s="168"/>
      <c r="E41" s="168"/>
      <c r="F41" s="168"/>
      <c r="G41" s="168"/>
      <c r="H41" s="168"/>
    </row>
    <row r="42" spans="3:14" x14ac:dyDescent="0.15">
      <c r="D42" s="168"/>
      <c r="E42" s="168"/>
      <c r="F42" s="168"/>
      <c r="G42" s="168"/>
      <c r="H42" s="168"/>
    </row>
    <row r="43" spans="3:14" x14ac:dyDescent="0.15">
      <c r="D43" s="168"/>
      <c r="E43" s="168"/>
      <c r="F43" s="168"/>
      <c r="G43" s="168"/>
      <c r="H43" s="168"/>
    </row>
    <row r="44" spans="3:14" x14ac:dyDescent="0.15">
      <c r="D44" s="168"/>
      <c r="E44" s="168"/>
      <c r="F44" s="168"/>
      <c r="G44" s="168"/>
      <c r="H44" s="168"/>
    </row>
    <row r="45" spans="3:14" x14ac:dyDescent="0.15">
      <c r="D45" s="168"/>
      <c r="E45" s="168"/>
      <c r="F45" s="168"/>
      <c r="G45" s="168"/>
      <c r="H45" s="168"/>
    </row>
    <row r="46" spans="3:14" x14ac:dyDescent="0.15">
      <c r="D46" s="168"/>
      <c r="E46" s="168"/>
      <c r="F46" s="168"/>
      <c r="G46" s="168"/>
      <c r="H46" s="168"/>
    </row>
    <row r="47" spans="3:14" x14ac:dyDescent="0.15">
      <c r="D47" s="168"/>
      <c r="E47" s="168"/>
      <c r="F47" s="168"/>
      <c r="G47" s="168"/>
      <c r="H47" s="168"/>
    </row>
    <row r="54" spans="7:7" x14ac:dyDescent="0.15">
      <c r="G54" s="169"/>
    </row>
    <row r="55" spans="7:7" x14ac:dyDescent="0.15">
      <c r="G55" s="169"/>
    </row>
    <row r="56" spans="7:7" x14ac:dyDescent="0.15">
      <c r="G56" s="169"/>
    </row>
    <row r="57" spans="7:7" x14ac:dyDescent="0.15">
      <c r="G57" s="169"/>
    </row>
    <row r="58" spans="7:7" x14ac:dyDescent="0.15">
      <c r="G58" s="169"/>
    </row>
    <row r="59" spans="7:7" x14ac:dyDescent="0.15">
      <c r="G59" s="169"/>
    </row>
    <row r="60" spans="7:7" x14ac:dyDescent="0.15">
      <c r="G60" s="169"/>
    </row>
    <row r="61" spans="7:7" x14ac:dyDescent="0.15">
      <c r="G61" s="169"/>
    </row>
    <row r="62" spans="7:7" x14ac:dyDescent="0.15">
      <c r="G62" s="169"/>
    </row>
    <row r="63" spans="7:7" x14ac:dyDescent="0.15">
      <c r="G63" s="169"/>
    </row>
    <row r="64" spans="7:7" x14ac:dyDescent="0.15">
      <c r="G64" s="169"/>
    </row>
  </sheetData>
  <sheetProtection sheet="1" objects="1" scenarios="1"/>
  <mergeCells count="121">
    <mergeCell ref="C31:C32"/>
    <mergeCell ref="C33:C34"/>
    <mergeCell ref="C1:N1"/>
    <mergeCell ref="D2:L2"/>
    <mergeCell ref="C16:C18"/>
    <mergeCell ref="C19:C20"/>
    <mergeCell ref="C21:C22"/>
    <mergeCell ref="C23:C24"/>
    <mergeCell ref="C25:C26"/>
    <mergeCell ref="C27:C28"/>
    <mergeCell ref="C29:C30"/>
    <mergeCell ref="J16:J18"/>
    <mergeCell ref="D16:E18"/>
    <mergeCell ref="L10:N11"/>
    <mergeCell ref="F9:H9"/>
    <mergeCell ref="M16:N18"/>
    <mergeCell ref="L16:L18"/>
    <mergeCell ref="F13:J13"/>
    <mergeCell ref="F14:J14"/>
    <mergeCell ref="F16:I16"/>
    <mergeCell ref="F12:H12"/>
    <mergeCell ref="H8:N8"/>
    <mergeCell ref="F10:J10"/>
    <mergeCell ref="F11:J11"/>
    <mergeCell ref="F18:G18"/>
    <mergeCell ref="F17:I17"/>
    <mergeCell ref="K13:K14"/>
    <mergeCell ref="K10:K11"/>
    <mergeCell ref="H18:I18"/>
    <mergeCell ref="C4:D4"/>
    <mergeCell ref="C5:D5"/>
    <mergeCell ref="C10:D12"/>
    <mergeCell ref="C13:D14"/>
    <mergeCell ref="C6:D6"/>
    <mergeCell ref="C7:D7"/>
    <mergeCell ref="C8:D9"/>
    <mergeCell ref="L23:L24"/>
    <mergeCell ref="K21:K22"/>
    <mergeCell ref="J19:J20"/>
    <mergeCell ref="K19:K20"/>
    <mergeCell ref="K23:K24"/>
    <mergeCell ref="H23:I23"/>
    <mergeCell ref="M23:N24"/>
    <mergeCell ref="H24:I24"/>
    <mergeCell ref="F23:G23"/>
    <mergeCell ref="F20:G20"/>
    <mergeCell ref="F22:G22"/>
    <mergeCell ref="F19:G19"/>
    <mergeCell ref="H21:I21"/>
    <mergeCell ref="L21:L22"/>
    <mergeCell ref="D23:E24"/>
    <mergeCell ref="F24:G24"/>
    <mergeCell ref="H25:I25"/>
    <mergeCell ref="K25:K26"/>
    <mergeCell ref="F21:G21"/>
    <mergeCell ref="D21:E22"/>
    <mergeCell ref="D25:E26"/>
    <mergeCell ref="J25:J26"/>
    <mergeCell ref="J23:J24"/>
    <mergeCell ref="F25:G25"/>
    <mergeCell ref="F26:G26"/>
    <mergeCell ref="H26:I26"/>
    <mergeCell ref="H29:I29"/>
    <mergeCell ref="H28:I28"/>
    <mergeCell ref="F27:G27"/>
    <mergeCell ref="F30:G30"/>
    <mergeCell ref="H31:I31"/>
    <mergeCell ref="J31:J32"/>
    <mergeCell ref="F31:G31"/>
    <mergeCell ref="F32:G32"/>
    <mergeCell ref="H32:I32"/>
    <mergeCell ref="F29:G29"/>
    <mergeCell ref="H27:I27"/>
    <mergeCell ref="J35:N35"/>
    <mergeCell ref="M33:N34"/>
    <mergeCell ref="K33:K34"/>
    <mergeCell ref="L33:L34"/>
    <mergeCell ref="J33:J34"/>
    <mergeCell ref="D27:E28"/>
    <mergeCell ref="D31:E32"/>
    <mergeCell ref="F28:G28"/>
    <mergeCell ref="D29:E30"/>
    <mergeCell ref="M29:N30"/>
    <mergeCell ref="M31:N32"/>
    <mergeCell ref="M27:N28"/>
    <mergeCell ref="L31:L32"/>
    <mergeCell ref="D33:E34"/>
    <mergeCell ref="F33:G33"/>
    <mergeCell ref="H33:I33"/>
    <mergeCell ref="F34:G34"/>
    <mergeCell ref="H34:I34"/>
    <mergeCell ref="K27:K28"/>
    <mergeCell ref="K29:K30"/>
    <mergeCell ref="J29:J30"/>
    <mergeCell ref="J27:J28"/>
    <mergeCell ref="K31:K32"/>
    <mergeCell ref="H30:I30"/>
    <mergeCell ref="C36:N36"/>
    <mergeCell ref="M19:N20"/>
    <mergeCell ref="C38:N38"/>
    <mergeCell ref="C37:N37"/>
    <mergeCell ref="L25:L26"/>
    <mergeCell ref="M25:N26"/>
    <mergeCell ref="L27:L28"/>
    <mergeCell ref="L29:L30"/>
    <mergeCell ref="H4:N4"/>
    <mergeCell ref="K16:K18"/>
    <mergeCell ref="E5:N5"/>
    <mergeCell ref="E7:K7"/>
    <mergeCell ref="L19:L20"/>
    <mergeCell ref="J21:J22"/>
    <mergeCell ref="M21:N22"/>
    <mergeCell ref="H22:I22"/>
    <mergeCell ref="E6:N6"/>
    <mergeCell ref="E4:F4"/>
    <mergeCell ref="L13:N14"/>
    <mergeCell ref="J9:N9"/>
    <mergeCell ref="J12:N12"/>
    <mergeCell ref="H20:I20"/>
    <mergeCell ref="H19:I19"/>
    <mergeCell ref="D19:E20"/>
  </mergeCells>
  <phoneticPr fontId="2"/>
  <dataValidations count="4">
    <dataValidation allowBlank="1" errorTitle="エラー！" error="「キャンセル」を押して、↓ボタンをクリックして一覧から選択して下さい_x000a_" promptTitle="「↓」を押して" prompt="リストから選んで下さい！" sqref="G4"/>
    <dataValidation imeMode="on" allowBlank="1" errorTitle="エラー！" error="「キャンセル」を押して、↓ボタンをクリックして一覧から選択して下さい_x000a_" promptTitle="「↓」を押して" prompt="リストから選んで下さい！" sqref="E5:E6"/>
    <dataValidation imeMode="on" allowBlank="1" showInputMessage="1" showErrorMessage="1" sqref="F13:F14 E7 H8 F10:F11 L10"/>
    <dataValidation imeMode="off" allowBlank="1" showInputMessage="1" showErrorMessage="1" sqref="J9 J12 F8:F9 F12 L19:L21 L23 L25 L27 L29 L31 L33"/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83" orientation="portrait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読んでね！</vt:lpstr>
      <vt:lpstr>メインシート</vt:lpstr>
      <vt:lpstr>学校ﾏｽﾀｰ</vt:lpstr>
      <vt:lpstr>入力ﾌｫｰﾑ</vt:lpstr>
      <vt:lpstr>名簿ﾏｽﾀｰ</vt:lpstr>
      <vt:lpstr>参加料納付書（計算式）</vt:lpstr>
      <vt:lpstr>男子団体</vt:lpstr>
      <vt:lpstr>女子団体</vt:lpstr>
      <vt:lpstr>個人（男子） </vt:lpstr>
      <vt:lpstr>個人（女子）</vt:lpstr>
      <vt:lpstr>'個人（女子）'!Print_Area</vt:lpstr>
      <vt:lpstr>'個人（男子） '!Print_Area</vt:lpstr>
      <vt:lpstr>'参加料納付書（計算式）'!Print_Area</vt:lpstr>
      <vt:lpstr>女子団体!Print_Area</vt:lpstr>
      <vt:lpstr>男子団体!Print_Area</vt:lpstr>
      <vt:lpstr>'読んでね！'!Print_Area</vt:lpstr>
      <vt:lpstr>名簿ﾏｽﾀｰ!Print_Area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髙木;清美</dc:creator>
  <cp:lastModifiedBy>kaede</cp:lastModifiedBy>
  <cp:lastPrinted>2016-07-19T07:42:21Z</cp:lastPrinted>
  <dcterms:created xsi:type="dcterms:W3CDTF">2004-08-30T01:38:07Z</dcterms:created>
  <dcterms:modified xsi:type="dcterms:W3CDTF">2016-07-19T07:56:04Z</dcterms:modified>
</cp:coreProperties>
</file>